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0"/>
  </bookViews>
  <sheets>
    <sheet name="A_III_1_vj" sheetId="1" r:id="rId1"/>
    <sheet name="Tabelle 1" sheetId="2" r:id="rId2"/>
    <sheet name="Tabelle 2" sheetId="3" r:id="rId3"/>
    <sheet name="Tabelle 3" sheetId="4" r:id="rId4"/>
    <sheet name="noch Tabelle 3" sheetId="5" r:id="rId5"/>
  </sheets>
  <externalReferences>
    <externalReference r:id="rId8"/>
  </externalReferences>
  <definedNames>
    <definedName name="QJ">'[1]AIII1Q Tab1 Übersicht'!$E$5</definedName>
  </definedNames>
  <calcPr fullCalcOnLoad="1"/>
</workbook>
</file>

<file path=xl/sharedStrings.xml><?xml version="1.0" encoding="utf-8"?>
<sst xmlns="http://schemas.openxmlformats.org/spreadsheetml/2006/main" count="186" uniqueCount="114">
  <si>
    <t>1. Übersicht</t>
  </si>
  <si>
    <t xml:space="preserve"> </t>
  </si>
  <si>
    <t>1. Vierteljahr 2010</t>
  </si>
  <si>
    <t>insgesamt</t>
  </si>
  <si>
    <t xml:space="preserve">männlich </t>
  </si>
  <si>
    <t>weiblich</t>
  </si>
  <si>
    <t>über die Landesgrenze</t>
  </si>
  <si>
    <t>Zuzüge</t>
  </si>
  <si>
    <t>Fortzüge</t>
  </si>
  <si>
    <t>Kreis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</si>
  <si>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</si>
  <si>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</si>
  <si>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</si>
  <si>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</si>
  <si>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</si>
  <si>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</si>
  <si>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</si>
  <si>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</si>
  <si>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</si>
  <si>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</si>
  <si>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</si>
  <si>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</si>
  <si>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</si>
  <si>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</si>
  <si>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</si>
  <si>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</si>
  <si>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</si>
  <si>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Herkunfts- und Zielgebiet</t>
  </si>
  <si>
    <t>Herkunfts-</t>
  </si>
  <si>
    <t xml:space="preserve"> bzw. Zielgebiet</t>
  </si>
  <si>
    <t>männlich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</si>
  <si>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</si>
  <si>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</si>
  <si>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</si>
  <si>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</si>
  <si>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</si>
  <si>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</si>
  <si>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</si>
  <si>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</si>
  <si>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</si>
  <si>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</si>
  <si>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</si>
  <si>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</si>
  <si>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</si>
  <si>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</si>
  <si>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</si>
  <si>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Harburg</t>
  </si>
  <si>
    <t>Stade</t>
  </si>
  <si>
    <t>Merkmal</t>
  </si>
  <si>
    <t xml:space="preserve">Zuzüge </t>
  </si>
  <si>
    <t xml:space="preserve">Fortzüge </t>
  </si>
  <si>
    <t>Saldo</t>
  </si>
  <si>
    <t>Umzüge zwischen Ortsteilen innerhalb Hamburgs</t>
  </si>
  <si>
    <t>Umzüge zwischen Gemeinden innerhalb Schleswig-Holsteins</t>
  </si>
  <si>
    <t>Hinweis:</t>
  </si>
  <si>
    <t xml:space="preserve">Bundeszahlen veröffentlicht das Statistische Bundesamt in seiner Fachserie 1 "Bevölkerung und Erwerbstätigkeit", Reihe 1 "Gebiet und Bevölkerung". </t>
  </si>
  <si>
    <t xml:space="preserve">Rechtsgrundlage: </t>
  </si>
  <si>
    <t xml:space="preserve">2. Zu- und Fortzüge im 1. Vierteljahr 2010 </t>
  </si>
  <si>
    <t>Hamburg-Mitte</t>
  </si>
  <si>
    <t>Altona</t>
  </si>
  <si>
    <t>Eimsbüttel</t>
  </si>
  <si>
    <t>Hamburg-Nord</t>
  </si>
  <si>
    <t>Wandsbek</t>
  </si>
  <si>
    <t>Bergedorf</t>
  </si>
  <si>
    <t>Kreisfreie Städte zusammen</t>
  </si>
  <si>
    <t>Kreise zusammen</t>
  </si>
  <si>
    <t xml:space="preserve">   Schleswig-Holstein: über die Gemeindegrenzen.</t>
  </si>
  <si>
    <t>Bezirk
Kreisfreie Stadt</t>
  </si>
  <si>
    <r>
      <t xml:space="preserve">1  </t>
    </r>
    <r>
      <rPr>
        <sz val="7"/>
        <rFont val="Arial"/>
        <family val="2"/>
      </rPr>
      <t>Hamburg: über die Ortsteilsgrenzen.</t>
    </r>
  </si>
  <si>
    <t>AIII 1 - vj 1/10 / Die Wanderungen in Hamburg und Schleswig-Holstein im 1. Vierteljahr 2010</t>
  </si>
  <si>
    <t>A III 1-vj 1/10</t>
  </si>
  <si>
    <t>Anstalt des öffentlichen Rechts</t>
  </si>
  <si>
    <t>D-20457 Hamburg, Steckelhörn 12</t>
  </si>
  <si>
    <t>D-24113 Kiel, Fröbelstraße 15-17</t>
  </si>
  <si>
    <t>Die Wanderungen im 1. Vierteljahr 2010</t>
  </si>
  <si>
    <t>Ausland</t>
  </si>
  <si>
    <t>Insgesamt</t>
  </si>
  <si>
    <t>nachrichtlich: Umland</t>
  </si>
  <si>
    <t>Hzgt. Lauenburg</t>
  </si>
  <si>
    <t>Landkreis Harburg</t>
  </si>
  <si>
    <t>Wanderungsgewinn oder -verlust (-)</t>
  </si>
  <si>
    <t>Statistisches Amt für Hamburg und Schleswig-Holstein</t>
  </si>
  <si>
    <t>www.statistik-nord.de</t>
  </si>
  <si>
    <t>Standort Hamburg:</t>
  </si>
  <si>
    <t>Standort Kiel: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</si>
  <si>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</si>
  <si>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</si>
  <si>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</si>
  <si>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</si>
  <si>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</si>
  <si>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</si>
  <si>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</si>
  <si>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</si>
  <si>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</si>
  <si>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</si>
  <si>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</si>
  <si>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</si>
  <si>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</si>
  <si>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</si>
  <si>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</si>
  <si>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</si>
  <si>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</si>
  <si>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</si>
  <si>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</si>
  <si>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 Schlüter</t>
  </si>
  <si>
    <t>040 42831-1754</t>
  </si>
  <si>
    <t xml:space="preserve">3. Zu- und Fortzüge über die Landesgrenze im 1. Vierteljahr 2010 </t>
  </si>
  <si>
    <r>
      <t>Noch:</t>
    </r>
    <r>
      <rPr>
        <b/>
        <sz val="10"/>
        <rFont val="Arial"/>
        <family val="2"/>
      </rPr>
      <t xml:space="preserve"> 3. Zu- und Fortzüge über die Landesgrenze im 1. Vierteljahr 2010 </t>
    </r>
  </si>
  <si>
    <t>1. Vierteljahr 2009</t>
  </si>
  <si>
    <t>Deutschland</t>
  </si>
  <si>
    <t>Isolde.Schlueter@statistik-nord.de</t>
  </si>
  <si>
    <t>Gesetz über die Statistik der Bevölkerungsbewegung und die Fortschreibung des Bevölkerungsstandes in der Fassung der Bekanntmachung vom 14. März 1980 (BGBl. I S.308), das zuletzt durch Artikel 1 des Gesetzes vom vom 18. Juli 2008 (BGBl. I S. 1290) geändert wurde.</t>
  </si>
  <si>
    <t>Wanderungs-gewinn
oder -verlust (-)</t>
  </si>
  <si>
    <r>
      <t xml:space="preserve">innerhalb des Landes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</si>
</sst>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;\-\ #,##0;\–"/>
    <numFmt numFmtId="166" formatCode="0.0;\-\ 0.0"/>
    <numFmt numFmtId="167" formatCode="#\ ###\ ###\ "/>
    <numFmt numFmtId="168" formatCode="####\ ###\ ###\ "/>
    <numFmt numFmtId="169" formatCode="####\ ###\ ###"/>
    <numFmt numFmtId="170" formatCode="\ #,##0"/>
    <numFmt numFmtId="171" formatCode="[$-407]d/\ mmmm\ yyyy;@"/>
    <numFmt numFmtId="172" formatCode="d/\ mmmm\ yyyy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.5"/>
      <name val="Arial"/>
      <family val="0"/>
    </font>
    <font>
      <sz val="7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Helvetica"/>
      <family val="0"/>
    </font>
    <font>
      <sz val="9"/>
      <color indexed="12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2" fillId="24" borderId="10" xfId="54" applyFont="1" applyFill="1" applyBorder="1" applyAlignment="1" applyProtection="1">
      <alignment/>
      <protection hidden="1"/>
    </xf>
    <xf numFmtId="0" fontId="2" fillId="7" borderId="11" xfId="54" applyFont="1" applyFill="1" applyBorder="1" applyAlignment="1" applyProtection="1">
      <alignment/>
      <protection hidden="1"/>
    </xf>
    <xf numFmtId="0" fontId="0" fillId="7" borderId="11" xfId="54" applyFont="1" applyFill="1" applyBorder="1" applyAlignment="1" applyProtection="1">
      <alignment/>
      <protection hidden="1"/>
    </xf>
    <xf numFmtId="0" fontId="0" fillId="7" borderId="12" xfId="54" applyFont="1" applyFill="1" applyBorder="1" applyAlignment="1" applyProtection="1">
      <alignment/>
      <protection hidden="1"/>
    </xf>
    <xf numFmtId="0" fontId="0" fillId="24" borderId="13" xfId="54" applyFont="1" applyFill="1" applyBorder="1" applyAlignment="1" applyProtection="1">
      <alignment/>
      <protection hidden="1"/>
    </xf>
    <xf numFmtId="0" fontId="0" fillId="7" borderId="0" xfId="54" applyFont="1" applyFill="1" applyBorder="1" applyAlignment="1" applyProtection="1">
      <alignment vertical="top"/>
      <protection hidden="1"/>
    </xf>
    <xf numFmtId="0" fontId="0" fillId="7" borderId="0" xfId="54" applyFont="1" applyFill="1" applyBorder="1" applyAlignment="1" applyProtection="1">
      <alignment/>
      <protection hidden="1"/>
    </xf>
    <xf numFmtId="0" fontId="0" fillId="7" borderId="14" xfId="54" applyFont="1" applyFill="1" applyBorder="1" applyAlignment="1" applyProtection="1">
      <alignment/>
      <protection hidden="1"/>
    </xf>
    <xf numFmtId="0" fontId="8" fillId="24" borderId="15" xfId="49" applyFont="1" applyFill="1" applyBorder="1" applyAlignment="1" applyProtection="1">
      <alignment horizontal="left"/>
      <protection hidden="1"/>
    </xf>
    <xf numFmtId="0" fontId="8" fillId="7" borderId="16" xfId="49" applyFont="1" applyFill="1" applyBorder="1" applyAlignment="1" applyProtection="1">
      <alignment horizontal="left"/>
      <protection hidden="1"/>
    </xf>
    <xf numFmtId="0" fontId="0" fillId="7" borderId="16" xfId="54" applyFont="1" applyFill="1" applyBorder="1" applyAlignment="1" applyProtection="1">
      <alignment/>
      <protection hidden="1"/>
    </xf>
    <xf numFmtId="0" fontId="0" fillId="7" borderId="17" xfId="54" applyFont="1" applyFill="1" applyBorder="1" applyAlignment="1" applyProtection="1">
      <alignment/>
      <protection hidden="1"/>
    </xf>
    <xf numFmtId="0" fontId="0" fillId="7" borderId="10" xfId="54" applyFont="1" applyFill="1" applyBorder="1" applyProtection="1">
      <alignment/>
      <protection hidden="1"/>
    </xf>
    <xf numFmtId="0" fontId="0" fillId="7" borderId="11" xfId="54" applyFont="1" applyFill="1" applyBorder="1" applyProtection="1">
      <alignment/>
      <protection hidden="1"/>
    </xf>
    <xf numFmtId="0" fontId="0" fillId="7" borderId="12" xfId="54" applyFont="1" applyFill="1" applyBorder="1" applyProtection="1">
      <alignment/>
      <protection hidden="1"/>
    </xf>
    <xf numFmtId="0" fontId="0" fillId="7" borderId="13" xfId="54" applyFont="1" applyFill="1" applyBorder="1" applyProtection="1">
      <alignment/>
      <protection hidden="1"/>
    </xf>
    <xf numFmtId="0" fontId="0" fillId="7" borderId="0" xfId="54" applyFont="1" applyFill="1" applyBorder="1" applyProtection="1">
      <alignment/>
      <protection hidden="1"/>
    </xf>
    <xf numFmtId="0" fontId="0" fillId="7" borderId="14" xfId="54" applyFont="1" applyFill="1" applyBorder="1" applyProtection="1">
      <alignment/>
      <protection hidden="1"/>
    </xf>
    <xf numFmtId="49" fontId="0" fillId="7" borderId="0" xfId="54" applyNumberFormat="1" applyFont="1" applyFill="1" applyBorder="1" applyProtection="1">
      <alignment/>
      <protection hidden="1"/>
    </xf>
    <xf numFmtId="0" fontId="0" fillId="7" borderId="0" xfId="54" applyFont="1" applyFill="1" applyBorder="1" applyProtection="1" quotePrefix="1">
      <alignment/>
      <protection hidden="1"/>
    </xf>
    <xf numFmtId="0" fontId="0" fillId="7" borderId="15" xfId="54" applyFont="1" applyFill="1" applyBorder="1" applyProtection="1">
      <alignment/>
      <protection hidden="1"/>
    </xf>
    <xf numFmtId="0" fontId="0" fillId="7" borderId="16" xfId="54" applyFont="1" applyFill="1" applyBorder="1" applyProtection="1">
      <alignment/>
      <protection hidden="1"/>
    </xf>
    <xf numFmtId="0" fontId="2" fillId="7" borderId="13" xfId="54" applyFont="1" applyFill="1" applyBorder="1" applyAlignment="1" applyProtection="1">
      <alignment/>
      <protection hidden="1"/>
    </xf>
    <xf numFmtId="0" fontId="2" fillId="24" borderId="13" xfId="54" applyFont="1" applyFill="1" applyBorder="1" applyAlignment="1" applyProtection="1">
      <alignment/>
      <protection hidden="1"/>
    </xf>
    <xf numFmtId="0" fontId="0" fillId="24" borderId="0" xfId="54" applyFont="1" applyFill="1" applyBorder="1" applyProtection="1">
      <alignment/>
      <protection hidden="1"/>
    </xf>
    <xf numFmtId="0" fontId="2" fillId="24" borderId="0" xfId="54" applyFont="1" applyFill="1" applyBorder="1" applyAlignment="1" applyProtection="1">
      <alignment horizontal="centerContinuous"/>
      <protection hidden="1"/>
    </xf>
    <xf numFmtId="0" fontId="2" fillId="7" borderId="0" xfId="54" applyFont="1" applyFill="1" applyBorder="1" applyAlignment="1" applyProtection="1">
      <alignment horizontal="centerContinuous"/>
      <protection hidden="1"/>
    </xf>
    <xf numFmtId="0" fontId="2" fillId="7" borderId="14" xfId="54" applyFont="1" applyFill="1" applyBorder="1" applyAlignment="1" applyProtection="1">
      <alignment horizontal="centerContinuous"/>
      <protection hidden="1"/>
    </xf>
    <xf numFmtId="0" fontId="2" fillId="24" borderId="13" xfId="54" applyFont="1" applyFill="1" applyBorder="1" applyAlignment="1" applyProtection="1">
      <alignment horizontal="left"/>
      <protection hidden="1"/>
    </xf>
    <xf numFmtId="0" fontId="2" fillId="24" borderId="13" xfId="54" applyNumberFormat="1" applyFont="1" applyFill="1" applyBorder="1" applyAlignment="1" applyProtection="1">
      <alignment horizontal="left"/>
      <protection hidden="1"/>
    </xf>
    <xf numFmtId="0" fontId="0" fillId="7" borderId="0" xfId="54" applyFont="1" applyFill="1" applyProtection="1">
      <alignment/>
      <protection hidden="1"/>
    </xf>
    <xf numFmtId="0" fontId="10" fillId="24" borderId="17" xfId="49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horizontal="centerContinuous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2" xfId="0" applyFill="1" applyBorder="1" applyAlignment="1">
      <alignment wrapText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0" fontId="0" fillId="0" borderId="14" xfId="0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8" fontId="0" fillId="0" borderId="0" xfId="0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 applyProtection="1">
      <alignment horizontal="centerContinuous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 wrapText="1"/>
      <protection hidden="1"/>
    </xf>
    <xf numFmtId="0" fontId="0" fillId="0" borderId="18" xfId="0" applyFill="1" applyBorder="1" applyAlignment="1" applyProtection="1">
      <alignment horizontal="centerContinuous" vertical="center" wrapText="1"/>
      <protection hidden="1"/>
    </xf>
    <xf numFmtId="0" fontId="0" fillId="0" borderId="17" xfId="0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7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 wrapText="1"/>
      <protection/>
    </xf>
    <xf numFmtId="0" fontId="0" fillId="0" borderId="20" xfId="0" applyFill="1" applyBorder="1" applyAlignment="1">
      <alignment horizontal="centerContinuous"/>
    </xf>
    <xf numFmtId="167" fontId="3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7" fontId="6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Continuous" wrapText="1"/>
      <protection hidden="1"/>
    </xf>
    <xf numFmtId="167" fontId="6" fillId="0" borderId="0" xfId="0" applyNumberFormat="1" applyFont="1" applyFill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7" borderId="16" xfId="48" applyFont="1" applyFill="1" applyBorder="1" applyAlignment="1" applyProtection="1">
      <alignment horizontal="left"/>
      <protection hidden="1"/>
    </xf>
    <xf numFmtId="0" fontId="10" fillId="7" borderId="16" xfId="49" applyFont="1" applyFill="1" applyBorder="1" applyAlignment="1" applyProtection="1">
      <alignment horizontal="left"/>
      <protection hidden="1"/>
    </xf>
    <xf numFmtId="0" fontId="10" fillId="7" borderId="17" xfId="49" applyFont="1" applyFill="1" applyBorder="1" applyAlignment="1" applyProtection="1">
      <alignment horizontal="left"/>
      <protection hidden="1"/>
    </xf>
    <xf numFmtId="49" fontId="0" fillId="24" borderId="11" xfId="54" applyNumberFormat="1" applyFont="1" applyFill="1" applyBorder="1" applyAlignment="1" applyProtection="1">
      <alignment horizontal="left"/>
      <protection locked="0"/>
    </xf>
    <xf numFmtId="49" fontId="0" fillId="24" borderId="12" xfId="54" applyNumberFormat="1" applyFont="1" applyFill="1" applyBorder="1" applyAlignment="1" applyProtection="1">
      <alignment horizontal="left"/>
      <protection locked="0"/>
    </xf>
    <xf numFmtId="172" fontId="0" fillId="24" borderId="19" xfId="54" applyNumberFormat="1" applyFont="1" applyFill="1" applyBorder="1" applyAlignment="1" applyProtection="1">
      <alignment horizontal="left"/>
      <protection locked="0"/>
    </xf>
    <xf numFmtId="172" fontId="0" fillId="24" borderId="21" xfId="54" applyNumberFormat="1" applyFont="1" applyFill="1" applyBorder="1" applyAlignment="1" applyProtection="1">
      <alignment horizontal="left"/>
      <protection locked="0"/>
    </xf>
    <xf numFmtId="0" fontId="0" fillId="7" borderId="15" xfId="54" applyFont="1" applyFill="1" applyBorder="1" applyAlignment="1" applyProtection="1">
      <alignment horizontal="left" vertical="top" wrapText="1"/>
      <protection hidden="1"/>
    </xf>
    <xf numFmtId="0" fontId="0" fillId="7" borderId="16" xfId="54" applyFont="1" applyFill="1" applyBorder="1" applyAlignment="1" applyProtection="1">
      <alignment horizontal="left" vertical="top" wrapText="1"/>
      <protection hidden="1"/>
    </xf>
    <xf numFmtId="0" fontId="0" fillId="7" borderId="17" xfId="54" applyFont="1" applyFill="1" applyBorder="1" applyAlignment="1" applyProtection="1">
      <alignment horizontal="left" vertical="top" wrapText="1"/>
      <protection hidden="1"/>
    </xf>
    <xf numFmtId="49" fontId="0" fillId="24" borderId="0" xfId="54" applyNumberFormat="1" applyFont="1" applyFill="1" applyBorder="1" applyAlignment="1" applyProtection="1">
      <alignment horizontal="left"/>
      <protection locked="0"/>
    </xf>
    <xf numFmtId="49" fontId="0" fillId="24" borderId="14" xfId="54" applyNumberFormat="1" applyFont="1" applyFill="1" applyBorder="1" applyAlignment="1" applyProtection="1">
      <alignment horizontal="left"/>
      <protection locked="0"/>
    </xf>
    <xf numFmtId="0" fontId="13" fillId="24" borderId="16" xfId="48" applyFont="1" applyFill="1" applyBorder="1" applyAlignment="1" applyProtection="1">
      <alignment horizontal="left"/>
      <protection locked="0"/>
    </xf>
    <xf numFmtId="0" fontId="14" fillId="24" borderId="16" xfId="49" applyFont="1" applyFill="1" applyBorder="1" applyAlignment="1" applyProtection="1">
      <alignment horizontal="left"/>
      <protection locked="0"/>
    </xf>
    <xf numFmtId="0" fontId="0" fillId="7" borderId="10" xfId="54" applyFont="1" applyFill="1" applyBorder="1" applyAlignment="1" applyProtection="1">
      <alignment horizontal="left" vertical="top" wrapText="1"/>
      <protection hidden="1"/>
    </xf>
    <xf numFmtId="0" fontId="0" fillId="7" borderId="11" xfId="54" applyFont="1" applyFill="1" applyBorder="1" applyAlignment="1" applyProtection="1">
      <alignment horizontal="left" vertical="top" wrapText="1"/>
      <protection hidden="1"/>
    </xf>
    <xf numFmtId="0" fontId="0" fillId="7" borderId="12" xfId="54" applyFont="1" applyFill="1" applyBorder="1" applyAlignment="1" applyProtection="1">
      <alignment horizontal="left" vertical="top" wrapText="1"/>
      <protection hidden="1"/>
    </xf>
    <xf numFmtId="0" fontId="0" fillId="7" borderId="13" xfId="54" applyFont="1" applyFill="1" applyBorder="1" applyAlignment="1" applyProtection="1">
      <alignment horizontal="left" vertical="top" wrapText="1"/>
      <protection hidden="1"/>
    </xf>
    <xf numFmtId="0" fontId="0" fillId="7" borderId="0" xfId="54" applyFont="1" applyFill="1" applyBorder="1" applyAlignment="1" applyProtection="1">
      <alignment horizontal="left" vertical="top" wrapText="1"/>
      <protection hidden="1"/>
    </xf>
    <xf numFmtId="0" fontId="0" fillId="7" borderId="14" xfId="54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Neutral" xfId="50"/>
    <cellStyle name="Notiz" xfId="51"/>
    <cellStyle name="Percent" xfId="52"/>
    <cellStyle name="Schlecht" xfId="53"/>
    <cellStyle name="Standard_A_I_2_vj061_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762000</xdr:colOff>
      <xdr:row>0</xdr:row>
      <xdr:rowOff>0</xdr:rowOff>
    </xdr:to>
    <xdr:pic>
      <xdr:nvPicPr>
        <xdr:cNvPr id="2" name="Picture 2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762000</xdr:colOff>
      <xdr:row>2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kaisersa\Lokale%20Einstellungen\Temporary%20Internet%20Files\OLKAF0\A_III_1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II1Q Tab1 Übersicht"/>
      <sheetName val="AIII1Q Tab2 ZuFort Kreise"/>
      <sheetName val="AIII1Q Tab3 ZuFort KreiseMonate"/>
      <sheetName val="AIII1Q Tab4 ZuFort HerkunftZiel"/>
      <sheetName val="AIII1Q Text"/>
    </sheetNames>
    <sheetDataSet>
      <sheetData sheetId="0">
        <row r="5">
          <cell r="E5" t="str">
            <v>1. Vierteljahr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18" sqref="K18"/>
    </sheetView>
  </sheetViews>
  <sheetFormatPr defaultColWidth="11.421875" defaultRowHeight="12.75"/>
  <sheetData>
    <row r="1" spans="1:8" ht="12.75">
      <c r="A1" s="2"/>
      <c r="B1" s="3" t="s">
        <v>81</v>
      </c>
      <c r="C1" s="4"/>
      <c r="D1" s="4"/>
      <c r="E1" s="4"/>
      <c r="F1" s="4"/>
      <c r="G1" s="4"/>
      <c r="H1" s="5"/>
    </row>
    <row r="2" spans="1:8" ht="12.75">
      <c r="A2" s="6"/>
      <c r="B2" s="7" t="s">
        <v>71</v>
      </c>
      <c r="C2" s="8"/>
      <c r="D2" s="8"/>
      <c r="E2" s="8"/>
      <c r="F2" s="8"/>
      <c r="G2" s="8"/>
      <c r="H2" s="9"/>
    </row>
    <row r="3" spans="1:8" ht="12.75">
      <c r="A3" s="10"/>
      <c r="B3" s="11" t="s">
        <v>82</v>
      </c>
      <c r="C3" s="12"/>
      <c r="D3" s="12"/>
      <c r="E3" s="12"/>
      <c r="F3" s="12"/>
      <c r="G3" s="12"/>
      <c r="H3" s="13"/>
    </row>
    <row r="4" spans="1:8" ht="12.75">
      <c r="A4" s="14" t="s">
        <v>83</v>
      </c>
      <c r="B4" s="15" t="s">
        <v>72</v>
      </c>
      <c r="C4" s="15"/>
      <c r="D4" s="16"/>
      <c r="E4" s="15" t="s">
        <v>84</v>
      </c>
      <c r="F4" s="15" t="s">
        <v>73</v>
      </c>
      <c r="G4" s="15"/>
      <c r="H4" s="16"/>
    </row>
    <row r="5" spans="1:8" ht="12.75">
      <c r="A5" s="17" t="s">
        <v>85</v>
      </c>
      <c r="B5" s="18" t="s">
        <v>86</v>
      </c>
      <c r="C5" s="18"/>
      <c r="D5" s="19"/>
      <c r="E5" s="18" t="s">
        <v>85</v>
      </c>
      <c r="F5" s="18" t="s">
        <v>87</v>
      </c>
      <c r="G5" s="18"/>
      <c r="H5" s="19"/>
    </row>
    <row r="6" spans="1:8" ht="12.75">
      <c r="A6" s="17" t="s">
        <v>88</v>
      </c>
      <c r="B6" s="20" t="s">
        <v>89</v>
      </c>
      <c r="C6" s="18"/>
      <c r="D6" s="19"/>
      <c r="E6" s="18" t="s">
        <v>88</v>
      </c>
      <c r="F6" s="20" t="s">
        <v>90</v>
      </c>
      <c r="G6" s="21"/>
      <c r="H6" s="19"/>
    </row>
    <row r="7" spans="1:8" ht="12.75">
      <c r="A7" s="17" t="s">
        <v>91</v>
      </c>
      <c r="B7" s="20" t="s">
        <v>92</v>
      </c>
      <c r="C7" s="18"/>
      <c r="D7" s="19"/>
      <c r="E7" s="18" t="s">
        <v>91</v>
      </c>
      <c r="F7" s="20" t="s">
        <v>93</v>
      </c>
      <c r="G7" s="21"/>
      <c r="H7" s="19"/>
    </row>
    <row r="8" spans="1:8" ht="12.75">
      <c r="A8" s="22" t="s">
        <v>94</v>
      </c>
      <c r="B8" s="96" t="s">
        <v>95</v>
      </c>
      <c r="C8" s="97"/>
      <c r="D8" s="98"/>
      <c r="E8" s="23" t="s">
        <v>94</v>
      </c>
      <c r="F8" s="97" t="s">
        <v>96</v>
      </c>
      <c r="G8" s="97"/>
      <c r="H8" s="9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97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70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74</v>
      </c>
      <c r="B12" s="26"/>
      <c r="C12" s="27"/>
      <c r="D12" s="27"/>
      <c r="E12" s="27"/>
      <c r="F12" s="27"/>
      <c r="G12" s="28"/>
      <c r="H12" s="29"/>
    </row>
    <row r="13" spans="1:8" ht="12.75">
      <c r="A13" s="31"/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98</v>
      </c>
      <c r="B15" s="18"/>
      <c r="C15" s="32"/>
      <c r="D15" s="32"/>
      <c r="E15" s="32"/>
      <c r="F15" s="32"/>
      <c r="G15" s="18" t="s">
        <v>99</v>
      </c>
      <c r="H15" s="19"/>
    </row>
    <row r="16" spans="1:8" ht="12.75">
      <c r="A16" s="14" t="s">
        <v>100</v>
      </c>
      <c r="B16" s="99" t="s">
        <v>104</v>
      </c>
      <c r="C16" s="99"/>
      <c r="D16" s="99"/>
      <c r="E16" s="100"/>
      <c r="F16" s="32"/>
      <c r="G16" s="101">
        <v>40528</v>
      </c>
      <c r="H16" s="102"/>
    </row>
    <row r="17" spans="1:8" ht="12.75">
      <c r="A17" s="17" t="s">
        <v>88</v>
      </c>
      <c r="B17" s="106" t="s">
        <v>105</v>
      </c>
      <c r="C17" s="106"/>
      <c r="D17" s="106"/>
      <c r="E17" s="107"/>
      <c r="F17" s="18"/>
      <c r="G17" s="18"/>
      <c r="H17" s="19"/>
    </row>
    <row r="18" spans="1:8" ht="12.75">
      <c r="A18" s="22" t="s">
        <v>94</v>
      </c>
      <c r="B18" s="108" t="s">
        <v>110</v>
      </c>
      <c r="C18" s="109"/>
      <c r="D18" s="109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12.75">
      <c r="A20" s="110" t="s">
        <v>101</v>
      </c>
      <c r="B20" s="111"/>
      <c r="C20" s="111"/>
      <c r="D20" s="111"/>
      <c r="E20" s="111"/>
      <c r="F20" s="111"/>
      <c r="G20" s="111"/>
      <c r="H20" s="112"/>
    </row>
    <row r="21" spans="1:8" ht="12.75">
      <c r="A21" s="113" t="s">
        <v>102</v>
      </c>
      <c r="B21" s="114"/>
      <c r="C21" s="114"/>
      <c r="D21" s="114"/>
      <c r="E21" s="114"/>
      <c r="F21" s="114"/>
      <c r="G21" s="114"/>
      <c r="H21" s="115"/>
    </row>
    <row r="22" spans="1:8" ht="12.75">
      <c r="A22" s="103" t="s">
        <v>103</v>
      </c>
      <c r="B22" s="104"/>
      <c r="C22" s="104"/>
      <c r="D22" s="104"/>
      <c r="E22" s="104"/>
      <c r="F22" s="104"/>
      <c r="G22" s="104"/>
      <c r="H22" s="105"/>
    </row>
  </sheetData>
  <sheetProtection/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Isolde.Schlueter@statistik-nord.de"/>
    <hyperlink ref="B3" r:id="rId5" display="http://www.statistik-nord.de/"/>
  </hyperlinks>
  <printOptions/>
  <pageMargins left="0.75" right="0.75" top="1" bottom="1" header="0.4921259845" footer="0.4921259845"/>
  <pageSetup horizontalDpi="600" verticalDpi="600" orientation="portrait" paperSize="9" scale="82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26.57421875" style="35" customWidth="1"/>
    <col min="2" max="2" width="13.421875" style="35" customWidth="1"/>
    <col min="3" max="3" width="12.7109375" style="35" customWidth="1"/>
    <col min="4" max="4" width="13.00390625" style="35" customWidth="1"/>
    <col min="5" max="5" width="13.421875" style="35" customWidth="1"/>
    <col min="6" max="6" width="12.8515625" style="35" customWidth="1"/>
    <col min="7" max="7" width="13.00390625" style="35" customWidth="1"/>
    <col min="8" max="16384" width="11.421875" style="35" customWidth="1"/>
  </cols>
  <sheetData>
    <row r="1" spans="1:7" ht="12.75">
      <c r="A1" s="34" t="s">
        <v>69</v>
      </c>
      <c r="B1" s="34"/>
      <c r="C1" s="34"/>
      <c r="D1" s="34"/>
      <c r="E1" s="34"/>
      <c r="F1" s="34"/>
      <c r="G1" s="34"/>
    </row>
    <row r="2" spans="1:7" ht="12.75">
      <c r="A2" s="34"/>
      <c r="B2" s="34"/>
      <c r="C2" s="34"/>
      <c r="D2" s="34"/>
      <c r="E2" s="34"/>
      <c r="F2" s="34"/>
      <c r="G2" s="34"/>
    </row>
    <row r="3" spans="1:7" ht="12.75" customHeight="1">
      <c r="A3" s="68" t="s">
        <v>0</v>
      </c>
      <c r="B3" s="36"/>
      <c r="C3" s="36"/>
      <c r="D3" s="36"/>
      <c r="E3" s="36"/>
      <c r="F3" s="36"/>
      <c r="G3" s="36"/>
    </row>
    <row r="4" spans="1:7" ht="12.75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37"/>
      <c r="B5" s="38" t="s">
        <v>108</v>
      </c>
      <c r="C5" s="38"/>
      <c r="D5" s="38"/>
      <c r="E5" s="38" t="s">
        <v>2</v>
      </c>
      <c r="F5" s="38"/>
      <c r="G5" s="39"/>
    </row>
    <row r="6" spans="1:7" ht="12.75">
      <c r="A6" s="40" t="s">
        <v>48</v>
      </c>
      <c r="B6" s="41" t="s">
        <v>3</v>
      </c>
      <c r="C6" s="41" t="s">
        <v>4</v>
      </c>
      <c r="D6" s="41" t="s">
        <v>5</v>
      </c>
      <c r="E6" s="41" t="s">
        <v>3</v>
      </c>
      <c r="F6" s="41" t="s">
        <v>4</v>
      </c>
      <c r="G6" s="42" t="s">
        <v>5</v>
      </c>
    </row>
    <row r="7" spans="1:7" ht="12.75">
      <c r="A7" s="43"/>
      <c r="B7" s="89" t="s">
        <v>36</v>
      </c>
      <c r="C7" s="44"/>
      <c r="D7" s="44"/>
      <c r="E7" s="44"/>
      <c r="F7" s="44"/>
      <c r="G7" s="44"/>
    </row>
    <row r="8" spans="1:7" ht="12.75">
      <c r="A8" s="45" t="s">
        <v>49</v>
      </c>
      <c r="B8" s="46">
        <f>7309+6338+7755</f>
        <v>21402</v>
      </c>
      <c r="C8" s="46">
        <f>3975+3375+4214</f>
        <v>11564</v>
      </c>
      <c r="D8" s="46">
        <f>B8-C8</f>
        <v>9838</v>
      </c>
      <c r="E8" s="46">
        <f>7006+6483+7798</f>
        <v>21287</v>
      </c>
      <c r="F8" s="46">
        <f>3797+3523+4160</f>
        <v>11480</v>
      </c>
      <c r="G8" s="46">
        <f>E8-F8</f>
        <v>9807</v>
      </c>
    </row>
    <row r="9" spans="1:7" ht="12.75">
      <c r="A9" s="45" t="s">
        <v>50</v>
      </c>
      <c r="B9" s="46">
        <f>5867+5209+6181</f>
        <v>17257</v>
      </c>
      <c r="C9" s="46">
        <f>3167+2758+3414</f>
        <v>9339</v>
      </c>
      <c r="D9" s="46">
        <f>B9-C9</f>
        <v>7918</v>
      </c>
      <c r="E9" s="46">
        <f>5866+5488+6665</f>
        <v>18019</v>
      </c>
      <c r="F9" s="46">
        <f>3250+2988+3748</f>
        <v>9986</v>
      </c>
      <c r="G9" s="46">
        <f>E9-F9</f>
        <v>8033</v>
      </c>
    </row>
    <row r="10" spans="1:7" ht="12.75">
      <c r="A10" s="45" t="s">
        <v>51</v>
      </c>
      <c r="B10" s="46">
        <f aca="true" t="shared" si="0" ref="B10:G10">B8-B9</f>
        <v>4145</v>
      </c>
      <c r="C10" s="46">
        <f t="shared" si="0"/>
        <v>2225</v>
      </c>
      <c r="D10" s="46">
        <f t="shared" si="0"/>
        <v>1920</v>
      </c>
      <c r="E10" s="46">
        <f t="shared" si="0"/>
        <v>3268</v>
      </c>
      <c r="F10" s="46">
        <f t="shared" si="0"/>
        <v>1494</v>
      </c>
      <c r="G10" s="46">
        <f t="shared" si="0"/>
        <v>1774</v>
      </c>
    </row>
    <row r="11" spans="1:7" ht="25.5">
      <c r="A11" s="45" t="s">
        <v>52</v>
      </c>
      <c r="B11" s="47">
        <f>8565+7705+9189</f>
        <v>25459</v>
      </c>
      <c r="C11" s="47">
        <f>4299+3819+4572</f>
        <v>12690</v>
      </c>
      <c r="D11" s="46">
        <f>B11-C11</f>
        <v>12769</v>
      </c>
      <c r="E11" s="47">
        <f>8419+7533+9098</f>
        <v>25050</v>
      </c>
      <c r="F11" s="47">
        <f>4204+3799+4544</f>
        <v>12547</v>
      </c>
      <c r="G11" s="46">
        <f>E11-F11</f>
        <v>12503</v>
      </c>
    </row>
    <row r="12" spans="1:7" ht="12.75">
      <c r="A12" s="48"/>
      <c r="B12" s="89" t="s">
        <v>26</v>
      </c>
      <c r="C12" s="44"/>
      <c r="D12" s="44"/>
      <c r="E12" s="44"/>
      <c r="F12" s="44"/>
      <c r="G12" s="44"/>
    </row>
    <row r="13" spans="1:7" ht="12.75">
      <c r="A13" s="45" t="s">
        <v>49</v>
      </c>
      <c r="B13" s="46">
        <f>6193+5702+6217</f>
        <v>18112</v>
      </c>
      <c r="C13" s="46">
        <f>3256+3005+3187</f>
        <v>9448</v>
      </c>
      <c r="D13" s="46">
        <f>B13-C13</f>
        <v>8664</v>
      </c>
      <c r="E13" s="46">
        <f>5542+4912+6410</f>
        <v>16864</v>
      </c>
      <c r="F13" s="46">
        <f>2854+2498+3308</f>
        <v>8660</v>
      </c>
      <c r="G13" s="46">
        <f>E13-F13</f>
        <v>8204</v>
      </c>
    </row>
    <row r="14" spans="1:7" ht="12.75">
      <c r="A14" s="45" t="s">
        <v>50</v>
      </c>
      <c r="B14" s="46">
        <f>6344+5538+6107</f>
        <v>17989</v>
      </c>
      <c r="C14" s="46">
        <f>3347+2943+3249</f>
        <v>9539</v>
      </c>
      <c r="D14" s="46">
        <f>B14-C14</f>
        <v>8450</v>
      </c>
      <c r="E14" s="46">
        <f>5079+4959+5684</f>
        <v>15722</v>
      </c>
      <c r="F14" s="46">
        <f>2676+2554+2964</f>
        <v>8194</v>
      </c>
      <c r="G14" s="46">
        <f>E14-F14</f>
        <v>7528</v>
      </c>
    </row>
    <row r="15" spans="1:7" ht="12.75">
      <c r="A15" s="45" t="s">
        <v>51</v>
      </c>
      <c r="B15" s="46">
        <f aca="true" t="shared" si="1" ref="B15:G15">B13-B14</f>
        <v>123</v>
      </c>
      <c r="C15" s="46">
        <f t="shared" si="1"/>
        <v>-91</v>
      </c>
      <c r="D15" s="46">
        <f t="shared" si="1"/>
        <v>214</v>
      </c>
      <c r="E15" s="46">
        <f t="shared" si="1"/>
        <v>1142</v>
      </c>
      <c r="F15" s="46">
        <f t="shared" si="1"/>
        <v>466</v>
      </c>
      <c r="G15" s="46">
        <f t="shared" si="1"/>
        <v>676</v>
      </c>
    </row>
    <row r="16" spans="1:7" ht="25.5">
      <c r="A16" s="49" t="s">
        <v>53</v>
      </c>
      <c r="B16" s="47">
        <f>10022+8951+9860</f>
        <v>28833</v>
      </c>
      <c r="C16" s="47">
        <f>5079+4470+4919</f>
        <v>14468</v>
      </c>
      <c r="D16" s="46">
        <f>B16-C16</f>
        <v>14365</v>
      </c>
      <c r="E16" s="47">
        <f>8992+8399+9722</f>
        <v>27113</v>
      </c>
      <c r="F16" s="47">
        <f>4618+4177+4879</f>
        <v>13674</v>
      </c>
      <c r="G16" s="46">
        <f>E16-F16</f>
        <v>13439</v>
      </c>
    </row>
    <row r="17" spans="1:7" ht="12.75">
      <c r="A17" s="1"/>
      <c r="B17" s="47"/>
      <c r="C17" s="47"/>
      <c r="D17" s="47"/>
      <c r="E17" s="47"/>
      <c r="F17" s="47"/>
      <c r="G17" s="47"/>
    </row>
    <row r="18" spans="1:7" ht="12.75">
      <c r="A18" s="1"/>
      <c r="B18" s="47"/>
      <c r="C18" s="47"/>
      <c r="D18" s="47"/>
      <c r="E18" s="47"/>
      <c r="F18" s="47"/>
      <c r="G18" s="47"/>
    </row>
    <row r="19" spans="1:7" ht="12.75">
      <c r="A19" s="50" t="s">
        <v>54</v>
      </c>
      <c r="B19" s="51"/>
      <c r="C19" s="51"/>
      <c r="D19" s="51"/>
      <c r="E19" s="51"/>
      <c r="F19" s="51"/>
      <c r="G19" s="51"/>
    </row>
    <row r="20" spans="1:7" ht="25.5">
      <c r="A20" s="52" t="s">
        <v>55</v>
      </c>
      <c r="B20" s="52"/>
      <c r="C20" s="52"/>
      <c r="D20" s="52"/>
      <c r="E20" s="52"/>
      <c r="F20" s="52"/>
      <c r="G20" s="52"/>
    </row>
    <row r="21" spans="1:7" ht="12.75">
      <c r="A21" s="51"/>
      <c r="B21" s="51"/>
      <c r="C21" s="51"/>
      <c r="D21" s="51"/>
      <c r="E21" s="51"/>
      <c r="F21" s="51"/>
      <c r="G21" s="51"/>
    </row>
    <row r="22" spans="1:7" ht="12.75">
      <c r="A22" s="50" t="s">
        <v>56</v>
      </c>
      <c r="B22" s="51"/>
      <c r="C22" s="51"/>
      <c r="D22" s="51"/>
      <c r="E22" s="51"/>
      <c r="F22" s="51"/>
      <c r="G22" s="51"/>
    </row>
    <row r="23" spans="1:7" ht="36" customHeight="1">
      <c r="A23" s="52" t="s">
        <v>111</v>
      </c>
      <c r="B23" s="52"/>
      <c r="C23" s="52"/>
      <c r="D23" s="52"/>
      <c r="E23" s="52"/>
      <c r="F23" s="52"/>
      <c r="G23" s="52"/>
    </row>
  </sheetData>
  <sheetProtection/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B31" sqref="B31"/>
    </sheetView>
  </sheetViews>
  <sheetFormatPr defaultColWidth="11.421875" defaultRowHeight="12.75"/>
  <cols>
    <col min="1" max="1" width="21.140625" style="51" customWidth="1"/>
    <col min="2" max="3" width="11.421875" style="51" customWidth="1"/>
    <col min="4" max="4" width="12.57421875" style="51" customWidth="1"/>
    <col min="5" max="6" width="11.421875" style="51" customWidth="1"/>
    <col min="7" max="7" width="12.57421875" style="51" customWidth="1"/>
    <col min="8" max="8" width="11.421875" style="51" customWidth="1"/>
    <col min="9" max="16384" width="11.421875" style="51" customWidth="1"/>
  </cols>
  <sheetData>
    <row r="1" spans="1:8" ht="12.75">
      <c r="A1" s="53" t="s">
        <v>69</v>
      </c>
      <c r="B1" s="53"/>
      <c r="C1" s="53"/>
      <c r="D1" s="53"/>
      <c r="E1" s="53"/>
      <c r="F1" s="53"/>
      <c r="G1" s="53"/>
      <c r="H1" s="53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12.75">
      <c r="A3" s="91" t="s">
        <v>57</v>
      </c>
      <c r="B3" s="53"/>
      <c r="C3" s="53"/>
      <c r="D3" s="53"/>
      <c r="E3" s="53"/>
      <c r="F3" s="53"/>
      <c r="G3" s="53"/>
      <c r="H3" s="53"/>
    </row>
    <row r="4" spans="1:8" ht="12.75">
      <c r="A4" s="54"/>
      <c r="B4" s="54"/>
      <c r="C4" s="54"/>
      <c r="D4" s="54"/>
      <c r="E4" s="54"/>
      <c r="F4" s="54"/>
      <c r="G4" s="54"/>
      <c r="H4" s="54"/>
    </row>
    <row r="5" spans="1:8" ht="51">
      <c r="A5" s="55" t="s">
        <v>67</v>
      </c>
      <c r="B5" s="56" t="s">
        <v>7</v>
      </c>
      <c r="C5" s="56"/>
      <c r="D5" s="56"/>
      <c r="E5" s="56" t="s">
        <v>8</v>
      </c>
      <c r="F5" s="56"/>
      <c r="G5" s="56"/>
      <c r="H5" s="90" t="s">
        <v>112</v>
      </c>
    </row>
    <row r="6" spans="1:8" ht="39.75">
      <c r="A6" s="57" t="s">
        <v>9</v>
      </c>
      <c r="B6" s="58" t="s">
        <v>3</v>
      </c>
      <c r="C6" s="59" t="s">
        <v>113</v>
      </c>
      <c r="D6" s="58" t="s">
        <v>6</v>
      </c>
      <c r="E6" s="58" t="s">
        <v>3</v>
      </c>
      <c r="F6" s="59" t="s">
        <v>113</v>
      </c>
      <c r="G6" s="58" t="s">
        <v>6</v>
      </c>
      <c r="H6" s="69" t="s">
        <v>10</v>
      </c>
    </row>
    <row r="7" spans="1:8" ht="12.75">
      <c r="A7" s="43"/>
      <c r="B7" s="60" t="s">
        <v>36</v>
      </c>
      <c r="C7" s="61"/>
      <c r="D7" s="61"/>
      <c r="E7" s="61"/>
      <c r="F7" s="61"/>
      <c r="G7" s="61"/>
      <c r="H7" s="61"/>
    </row>
    <row r="8" spans="1:8" ht="12.75">
      <c r="A8" s="62" t="s">
        <v>58</v>
      </c>
      <c r="B8" s="46">
        <f>C8+D8</f>
        <v>8554</v>
      </c>
      <c r="C8" s="46">
        <f>1263+1149+1453</f>
        <v>3865</v>
      </c>
      <c r="D8" s="46">
        <f>1587+1382+1720</f>
        <v>4689</v>
      </c>
      <c r="E8" s="46">
        <f>F8+G8</f>
        <v>8415</v>
      </c>
      <c r="F8" s="46">
        <f>1538+1309+1604</f>
        <v>4451</v>
      </c>
      <c r="G8" s="46">
        <f>1328+1214+1422</f>
        <v>3964</v>
      </c>
      <c r="H8" s="63">
        <f>B8-E8</f>
        <v>139</v>
      </c>
    </row>
    <row r="9" spans="1:8" ht="12.75">
      <c r="A9" s="62" t="s">
        <v>59</v>
      </c>
      <c r="B9" s="46">
        <f aca="true" t="shared" si="0" ref="B9:B33">C9+D9</f>
        <v>6488</v>
      </c>
      <c r="C9" s="46">
        <f>1291+1136+1355</f>
        <v>3782</v>
      </c>
      <c r="D9" s="46">
        <f>884+821+1001</f>
        <v>2706</v>
      </c>
      <c r="E9" s="46">
        <f aca="true" t="shared" si="1" ref="E9:E15">F9+G9</f>
        <v>6179</v>
      </c>
      <c r="F9" s="46">
        <f>1167+1169+1354</f>
        <v>3690</v>
      </c>
      <c r="G9" s="46">
        <f>792+761+936</f>
        <v>2489</v>
      </c>
      <c r="H9" s="63">
        <f aca="true" t="shared" si="2" ref="H9:H34">B9-E9</f>
        <v>309</v>
      </c>
    </row>
    <row r="10" spans="1:8" ht="12.75">
      <c r="A10" s="62" t="s">
        <v>60</v>
      </c>
      <c r="B10" s="46">
        <f t="shared" si="0"/>
        <v>6693</v>
      </c>
      <c r="C10" s="46">
        <f>1294+1081+1313</f>
        <v>3688</v>
      </c>
      <c r="D10" s="46">
        <f>947+963+1095</f>
        <v>3005</v>
      </c>
      <c r="E10" s="46">
        <f t="shared" si="1"/>
        <v>6058</v>
      </c>
      <c r="F10" s="46">
        <f>1309+1106+1290</f>
        <v>3705</v>
      </c>
      <c r="G10" s="46">
        <f>786+709+858</f>
        <v>2353</v>
      </c>
      <c r="H10" s="63">
        <f t="shared" si="2"/>
        <v>635</v>
      </c>
    </row>
    <row r="11" spans="1:8" ht="12.75">
      <c r="A11" s="62" t="s">
        <v>61</v>
      </c>
      <c r="B11" s="46">
        <f t="shared" si="0"/>
        <v>9171</v>
      </c>
      <c r="C11" s="46">
        <f>1653+1555+1842</f>
        <v>5050</v>
      </c>
      <c r="D11" s="46">
        <f>1363+1249+1509</f>
        <v>4121</v>
      </c>
      <c r="E11" s="46">
        <f t="shared" si="1"/>
        <v>8284</v>
      </c>
      <c r="F11" s="46">
        <f>1715+1592+1945</f>
        <v>5252</v>
      </c>
      <c r="G11" s="46">
        <f>945+954+1133</f>
        <v>3032</v>
      </c>
      <c r="H11" s="63">
        <f t="shared" si="2"/>
        <v>887</v>
      </c>
    </row>
    <row r="12" spans="1:8" ht="12.75">
      <c r="A12" s="62" t="s">
        <v>62</v>
      </c>
      <c r="B12" s="46">
        <f t="shared" si="0"/>
        <v>8784</v>
      </c>
      <c r="C12" s="46">
        <f>1716+1526+1912</f>
        <v>5154</v>
      </c>
      <c r="D12" s="46">
        <f>1145+1157+1328</f>
        <v>3630</v>
      </c>
      <c r="E12" s="46">
        <f t="shared" si="1"/>
        <v>7689</v>
      </c>
      <c r="F12" s="46">
        <f>1573+1374+1680</f>
        <v>4627</v>
      </c>
      <c r="G12" s="46">
        <f>1036+919+1107</f>
        <v>3062</v>
      </c>
      <c r="H12" s="63">
        <f t="shared" si="2"/>
        <v>1095</v>
      </c>
    </row>
    <row r="13" spans="1:8" ht="12.75">
      <c r="A13" s="62" t="s">
        <v>63</v>
      </c>
      <c r="B13" s="46">
        <f t="shared" si="0"/>
        <v>2967</v>
      </c>
      <c r="C13" s="46">
        <f>566+547+541</f>
        <v>1654</v>
      </c>
      <c r="D13" s="46">
        <f>458+404+451</f>
        <v>1313</v>
      </c>
      <c r="E13" s="46">
        <f t="shared" si="1"/>
        <v>2460</v>
      </c>
      <c r="F13" s="46">
        <f>518+439+520</f>
        <v>1477</v>
      </c>
      <c r="G13" s="46">
        <f>323+308+352</f>
        <v>983</v>
      </c>
      <c r="H13" s="63">
        <f t="shared" si="2"/>
        <v>507</v>
      </c>
    </row>
    <row r="14" spans="1:8" ht="12.75">
      <c r="A14" s="62" t="s">
        <v>46</v>
      </c>
      <c r="B14" s="46">
        <f t="shared" si="0"/>
        <v>3680</v>
      </c>
      <c r="C14" s="46">
        <f>636+539+682</f>
        <v>1857</v>
      </c>
      <c r="D14" s="46">
        <f>622+507+694</f>
        <v>1823</v>
      </c>
      <c r="E14" s="46">
        <f t="shared" si="1"/>
        <v>3984</v>
      </c>
      <c r="F14" s="46">
        <f>599+544+705</f>
        <v>1848</v>
      </c>
      <c r="G14" s="46">
        <f>656+623+857</f>
        <v>2136</v>
      </c>
      <c r="H14" s="63">
        <f t="shared" si="2"/>
        <v>-304</v>
      </c>
    </row>
    <row r="15" spans="1:8" ht="12.75">
      <c r="A15" s="64" t="s">
        <v>36</v>
      </c>
      <c r="B15" s="92">
        <f t="shared" si="0"/>
        <v>46337</v>
      </c>
      <c r="C15" s="65">
        <f>SUM(C8:C14)</f>
        <v>25050</v>
      </c>
      <c r="D15" s="65">
        <f>SUM(D8:D14)</f>
        <v>21287</v>
      </c>
      <c r="E15" s="92">
        <f t="shared" si="1"/>
        <v>43069</v>
      </c>
      <c r="F15" s="65">
        <f>SUM(F8:F14)</f>
        <v>25050</v>
      </c>
      <c r="G15" s="65">
        <f>SUM(G8:G14)</f>
        <v>18019</v>
      </c>
      <c r="H15" s="66">
        <f t="shared" si="2"/>
        <v>3268</v>
      </c>
    </row>
    <row r="16" spans="1:8" ht="12.75">
      <c r="A16" s="48"/>
      <c r="B16" s="61" t="s">
        <v>26</v>
      </c>
      <c r="C16" s="61"/>
      <c r="D16" s="61"/>
      <c r="E16" s="61"/>
      <c r="F16" s="61"/>
      <c r="G16" s="61"/>
      <c r="H16" s="61"/>
    </row>
    <row r="17" spans="1:8" ht="12.75">
      <c r="A17" s="62" t="s">
        <v>11</v>
      </c>
      <c r="B17" s="94">
        <f t="shared" si="0"/>
        <v>1515</v>
      </c>
      <c r="C17" s="46">
        <f>249+231+351</f>
        <v>831</v>
      </c>
      <c r="D17" s="46">
        <f>200+175+309</f>
        <v>684</v>
      </c>
      <c r="E17" s="46">
        <f>F17+G17</f>
        <v>1461</v>
      </c>
      <c r="F17" s="46">
        <f>224+259+293</f>
        <v>776</v>
      </c>
      <c r="G17" s="46">
        <f>191+264+230</f>
        <v>685</v>
      </c>
      <c r="H17" s="93">
        <f t="shared" si="2"/>
        <v>54</v>
      </c>
    </row>
    <row r="18" spans="1:8" ht="12.75">
      <c r="A18" s="62" t="s">
        <v>12</v>
      </c>
      <c r="B18" s="94">
        <f t="shared" si="0"/>
        <v>3157</v>
      </c>
      <c r="C18" s="46">
        <f>549+528+569</f>
        <v>1646</v>
      </c>
      <c r="D18" s="46">
        <f>521+416+574</f>
        <v>1511</v>
      </c>
      <c r="E18" s="46">
        <f aca="true" t="shared" si="3" ref="E18:E32">F18+G18</f>
        <v>3298</v>
      </c>
      <c r="F18" s="46">
        <f>488+477+617</f>
        <v>1582</v>
      </c>
      <c r="G18" s="46">
        <f>481+531+704</f>
        <v>1716</v>
      </c>
      <c r="H18" s="93">
        <f t="shared" si="2"/>
        <v>-141</v>
      </c>
    </row>
    <row r="19" spans="1:8" ht="12.75">
      <c r="A19" s="62" t="s">
        <v>13</v>
      </c>
      <c r="B19" s="94">
        <f t="shared" si="0"/>
        <v>2539</v>
      </c>
      <c r="C19" s="46">
        <f>274+325+412</f>
        <v>1011</v>
      </c>
      <c r="D19" s="46">
        <f>395+521+612</f>
        <v>1528</v>
      </c>
      <c r="E19" s="46">
        <f t="shared" si="3"/>
        <v>2178</v>
      </c>
      <c r="F19" s="46">
        <f>317+305+355</f>
        <v>977</v>
      </c>
      <c r="G19" s="46">
        <f>327+448+426</f>
        <v>1201</v>
      </c>
      <c r="H19" s="93">
        <f t="shared" si="2"/>
        <v>361</v>
      </c>
    </row>
    <row r="20" spans="1:8" ht="12.75">
      <c r="A20" s="62" t="s">
        <v>14</v>
      </c>
      <c r="B20" s="94">
        <f t="shared" si="0"/>
        <v>1130</v>
      </c>
      <c r="C20" s="46">
        <f>233+106+243</f>
        <v>582</v>
      </c>
      <c r="D20" s="46">
        <f>213+105+230</f>
        <v>548</v>
      </c>
      <c r="E20" s="46">
        <f t="shared" si="3"/>
        <v>967</v>
      </c>
      <c r="F20" s="46">
        <f>194+210+223</f>
        <v>627</v>
      </c>
      <c r="G20" s="46">
        <f>117+96+127</f>
        <v>340</v>
      </c>
      <c r="H20" s="93">
        <f t="shared" si="2"/>
        <v>163</v>
      </c>
    </row>
    <row r="21" spans="1:8" ht="24">
      <c r="A21" s="62" t="s">
        <v>64</v>
      </c>
      <c r="B21" s="94">
        <f t="shared" si="0"/>
        <v>8341</v>
      </c>
      <c r="C21" s="46">
        <f>SUM(C17:C20)</f>
        <v>4070</v>
      </c>
      <c r="D21" s="46">
        <f>SUM(D17:D20)</f>
        <v>4271</v>
      </c>
      <c r="E21" s="46">
        <f t="shared" si="3"/>
        <v>7904</v>
      </c>
      <c r="F21" s="46">
        <f>SUM(F17:F20)</f>
        <v>3962</v>
      </c>
      <c r="G21" s="46">
        <f>SUM(G17:G20)</f>
        <v>3942</v>
      </c>
      <c r="H21" s="93">
        <f t="shared" si="2"/>
        <v>437</v>
      </c>
    </row>
    <row r="22" spans="1:8" ht="12.75">
      <c r="A22" s="62" t="s">
        <v>15</v>
      </c>
      <c r="B22" s="94">
        <f t="shared" si="0"/>
        <v>2194</v>
      </c>
      <c r="C22" s="46">
        <f>560+499+629</f>
        <v>1688</v>
      </c>
      <c r="D22" s="46">
        <f>192+140+174</f>
        <v>506</v>
      </c>
      <c r="E22" s="46">
        <f t="shared" si="3"/>
        <v>2174</v>
      </c>
      <c r="F22" s="46">
        <f>582+525+600</f>
        <v>1707</v>
      </c>
      <c r="G22" s="46">
        <f>161+135+171</f>
        <v>467</v>
      </c>
      <c r="H22" s="93">
        <f t="shared" si="2"/>
        <v>20</v>
      </c>
    </row>
    <row r="23" spans="1:8" ht="12.75">
      <c r="A23" s="62" t="s">
        <v>16</v>
      </c>
      <c r="B23" s="94">
        <f t="shared" si="0"/>
        <v>2979</v>
      </c>
      <c r="C23" s="46">
        <f>602+539+522</f>
        <v>1663</v>
      </c>
      <c r="D23" s="46">
        <f>486+398+432</f>
        <v>1316</v>
      </c>
      <c r="E23" s="46">
        <f t="shared" si="3"/>
        <v>2963</v>
      </c>
      <c r="F23" s="46">
        <f>555+528+519</f>
        <v>1602</v>
      </c>
      <c r="G23" s="46">
        <f>463+431+467</f>
        <v>1361</v>
      </c>
      <c r="H23" s="93">
        <f t="shared" si="2"/>
        <v>16</v>
      </c>
    </row>
    <row r="24" spans="1:8" ht="12.75">
      <c r="A24" s="62" t="s">
        <v>17</v>
      </c>
      <c r="B24" s="94">
        <f t="shared" si="0"/>
        <v>3113</v>
      </c>
      <c r="C24" s="46">
        <f>699+626+790</f>
        <v>2115</v>
      </c>
      <c r="D24" s="46">
        <f>310+292+396</f>
        <v>998</v>
      </c>
      <c r="E24" s="46">
        <f t="shared" si="3"/>
        <v>2976</v>
      </c>
      <c r="F24" s="46">
        <f>744+607+809</f>
        <v>2160</v>
      </c>
      <c r="G24" s="46">
        <f>289+232+295</f>
        <v>816</v>
      </c>
      <c r="H24" s="93">
        <f t="shared" si="2"/>
        <v>137</v>
      </c>
    </row>
    <row r="25" spans="1:8" ht="12.75">
      <c r="A25" s="62" t="s">
        <v>18</v>
      </c>
      <c r="B25" s="94">
        <f t="shared" si="0"/>
        <v>2948</v>
      </c>
      <c r="C25" s="46">
        <f>635+678+719</f>
        <v>2032</v>
      </c>
      <c r="D25" s="46">
        <f>312+241+363</f>
        <v>916</v>
      </c>
      <c r="E25" s="46">
        <f t="shared" si="3"/>
        <v>3383</v>
      </c>
      <c r="F25" s="46">
        <f>629+690+782</f>
        <v>2101</v>
      </c>
      <c r="G25" s="46">
        <f>632+225+425</f>
        <v>1282</v>
      </c>
      <c r="H25" s="93">
        <f t="shared" si="2"/>
        <v>-435</v>
      </c>
    </row>
    <row r="26" spans="1:8" ht="12.75">
      <c r="A26" s="62" t="s">
        <v>19</v>
      </c>
      <c r="B26" s="94">
        <f t="shared" si="0"/>
        <v>4632</v>
      </c>
      <c r="C26" s="46">
        <f>726+700+812</f>
        <v>2238</v>
      </c>
      <c r="D26" s="46">
        <f>801+712+881</f>
        <v>2394</v>
      </c>
      <c r="E26" s="46">
        <f t="shared" si="3"/>
        <v>4461</v>
      </c>
      <c r="F26" s="46">
        <f>691+699+805</f>
        <v>2195</v>
      </c>
      <c r="G26" s="46">
        <f>640+736+890</f>
        <v>2266</v>
      </c>
      <c r="H26" s="93">
        <f t="shared" si="2"/>
        <v>171</v>
      </c>
    </row>
    <row r="27" spans="1:8" ht="12.75">
      <c r="A27" s="62" t="s">
        <v>20</v>
      </c>
      <c r="B27" s="94">
        <f t="shared" si="0"/>
        <v>1862</v>
      </c>
      <c r="C27" s="46">
        <f>479+479+515</f>
        <v>1473</v>
      </c>
      <c r="D27" s="46">
        <f>111+115+163</f>
        <v>389</v>
      </c>
      <c r="E27" s="46">
        <f t="shared" si="3"/>
        <v>1785</v>
      </c>
      <c r="F27" s="46">
        <f>505+439+525</f>
        <v>1469</v>
      </c>
      <c r="G27" s="46">
        <f>101+106+109</f>
        <v>316</v>
      </c>
      <c r="H27" s="93">
        <f t="shared" si="2"/>
        <v>77</v>
      </c>
    </row>
    <row r="28" spans="1:8" ht="12.75">
      <c r="A28" s="62" t="s">
        <v>21</v>
      </c>
      <c r="B28" s="94">
        <f t="shared" si="0"/>
        <v>4460</v>
      </c>
      <c r="C28" s="46">
        <f>1156+1057+1236</f>
        <v>3449</v>
      </c>
      <c r="D28" s="46">
        <f>331+295+385</f>
        <v>1011</v>
      </c>
      <c r="E28" s="46">
        <f t="shared" si="3"/>
        <v>4303</v>
      </c>
      <c r="F28" s="46">
        <f>1149+1079+1140</f>
        <v>3368</v>
      </c>
      <c r="G28" s="46">
        <f>273+330+332</f>
        <v>935</v>
      </c>
      <c r="H28" s="93">
        <f t="shared" si="2"/>
        <v>157</v>
      </c>
    </row>
    <row r="29" spans="1:8" ht="12.75">
      <c r="A29" s="62" t="s">
        <v>22</v>
      </c>
      <c r="B29" s="94">
        <f t="shared" si="0"/>
        <v>3366</v>
      </c>
      <c r="C29" s="46">
        <f>881+851+961</f>
        <v>2693</v>
      </c>
      <c r="D29" s="46">
        <f>241+154+278</f>
        <v>673</v>
      </c>
      <c r="E29" s="46">
        <f t="shared" si="3"/>
        <v>3269</v>
      </c>
      <c r="F29" s="46">
        <f>911+809+1010</f>
        <v>2730</v>
      </c>
      <c r="G29" s="46">
        <f>172+183+184</f>
        <v>539</v>
      </c>
      <c r="H29" s="93">
        <f t="shared" si="2"/>
        <v>97</v>
      </c>
    </row>
    <row r="30" spans="1:8" ht="12.75">
      <c r="A30" s="62" t="s">
        <v>23</v>
      </c>
      <c r="B30" s="94">
        <f t="shared" si="0"/>
        <v>4282</v>
      </c>
      <c r="C30" s="46">
        <f>839+774+862</f>
        <v>2475</v>
      </c>
      <c r="D30" s="46">
        <f>596+518+693</f>
        <v>1807</v>
      </c>
      <c r="E30" s="46">
        <f t="shared" si="3"/>
        <v>4092</v>
      </c>
      <c r="F30" s="46">
        <f>851+721+860</f>
        <v>2432</v>
      </c>
      <c r="G30" s="46">
        <f>524+544+592</f>
        <v>1660</v>
      </c>
      <c r="H30" s="93">
        <f t="shared" si="2"/>
        <v>190</v>
      </c>
    </row>
    <row r="31" spans="1:8" ht="12.75">
      <c r="A31" s="62" t="s">
        <v>24</v>
      </c>
      <c r="B31" s="94">
        <f t="shared" si="0"/>
        <v>1902</v>
      </c>
      <c r="C31" s="46">
        <f>535+413+459</f>
        <v>1407</v>
      </c>
      <c r="D31" s="46">
        <f>149+167+179</f>
        <v>495</v>
      </c>
      <c r="E31" s="46">
        <f t="shared" si="3"/>
        <v>1935</v>
      </c>
      <c r="F31" s="46">
        <f>531+434+519</f>
        <v>1484</v>
      </c>
      <c r="G31" s="46">
        <f>154+149+148</f>
        <v>451</v>
      </c>
      <c r="H31" s="93">
        <f t="shared" si="2"/>
        <v>-33</v>
      </c>
    </row>
    <row r="32" spans="1:8" ht="12.75">
      <c r="A32" s="62" t="s">
        <v>25</v>
      </c>
      <c r="B32" s="94">
        <f t="shared" si="0"/>
        <v>3898</v>
      </c>
      <c r="C32" s="46">
        <f>575+593+642</f>
        <v>1810</v>
      </c>
      <c r="D32" s="46">
        <f>684+663+741</f>
        <v>2088</v>
      </c>
      <c r="E32" s="46">
        <f t="shared" si="3"/>
        <v>3590</v>
      </c>
      <c r="F32" s="46">
        <f>621+617+665</f>
        <v>1903</v>
      </c>
      <c r="G32" s="46">
        <f>554+549+584</f>
        <v>1687</v>
      </c>
      <c r="H32" s="93">
        <f t="shared" si="2"/>
        <v>308</v>
      </c>
    </row>
    <row r="33" spans="1:8" ht="12.75">
      <c r="A33" s="62" t="s">
        <v>65</v>
      </c>
      <c r="B33" s="94">
        <f t="shared" si="0"/>
        <v>35636</v>
      </c>
      <c r="C33" s="46">
        <f>SUM(C22:C32)</f>
        <v>23043</v>
      </c>
      <c r="D33" s="46">
        <f>SUM(D22:D32)</f>
        <v>12593</v>
      </c>
      <c r="E33" s="46">
        <f>SUM(E22:E32)</f>
        <v>34931</v>
      </c>
      <c r="F33" s="46">
        <f>SUM(F22:F32)</f>
        <v>23151</v>
      </c>
      <c r="G33" s="46">
        <f>SUM(G22:G32)</f>
        <v>11780</v>
      </c>
      <c r="H33" s="93">
        <f t="shared" si="2"/>
        <v>705</v>
      </c>
    </row>
    <row r="34" spans="1:8" ht="12.75">
      <c r="A34" s="64" t="s">
        <v>26</v>
      </c>
      <c r="B34" s="92">
        <f aca="true" t="shared" si="4" ref="B34:G34">B21+B33</f>
        <v>43977</v>
      </c>
      <c r="C34" s="92">
        <f t="shared" si="4"/>
        <v>27113</v>
      </c>
      <c r="D34" s="92">
        <f t="shared" si="4"/>
        <v>16864</v>
      </c>
      <c r="E34" s="92">
        <f t="shared" si="4"/>
        <v>42835</v>
      </c>
      <c r="F34" s="92">
        <f t="shared" si="4"/>
        <v>27113</v>
      </c>
      <c r="G34" s="92">
        <f t="shared" si="4"/>
        <v>15722</v>
      </c>
      <c r="H34" s="66">
        <f t="shared" si="2"/>
        <v>1142</v>
      </c>
    </row>
    <row r="35" spans="1:8" ht="12.75">
      <c r="A35" s="67"/>
      <c r="B35" s="67"/>
      <c r="C35" s="67"/>
      <c r="D35" s="67"/>
      <c r="E35" s="67"/>
      <c r="F35" s="67"/>
      <c r="G35" s="67"/>
      <c r="H35" s="67"/>
    </row>
    <row r="36" spans="1:8" ht="12.75">
      <c r="A36" s="116" t="s">
        <v>68</v>
      </c>
      <c r="B36" s="116"/>
      <c r="C36" s="52"/>
      <c r="D36" s="52"/>
      <c r="E36" s="52"/>
      <c r="F36" s="52"/>
      <c r="G36" s="52"/>
      <c r="H36" s="52"/>
    </row>
    <row r="37" spans="1:8" ht="12.75">
      <c r="A37" s="116" t="s">
        <v>66</v>
      </c>
      <c r="B37" s="116"/>
      <c r="C37" s="52"/>
      <c r="D37" s="52"/>
      <c r="E37" s="52"/>
      <c r="F37" s="52"/>
      <c r="G37" s="52"/>
      <c r="H37" s="52"/>
    </row>
  </sheetData>
  <sheetProtection/>
  <mergeCells count="2">
    <mergeCell ref="A36:B36"/>
    <mergeCell ref="A37:B37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4.421875" style="35" customWidth="1"/>
    <col min="2" max="16384" width="11.421875" style="35" customWidth="1"/>
  </cols>
  <sheetData>
    <row r="1" spans="1:8" ht="12.75">
      <c r="A1" s="34" t="s">
        <v>69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10" ht="12.75">
      <c r="A3" s="71" t="s">
        <v>106</v>
      </c>
      <c r="B3" s="72"/>
      <c r="C3" s="72"/>
      <c r="D3" s="72"/>
      <c r="E3" s="72"/>
      <c r="F3" s="72"/>
      <c r="G3" s="72"/>
      <c r="H3" s="72"/>
      <c r="I3" s="78"/>
      <c r="J3" s="78"/>
    </row>
    <row r="4" spans="1:9" ht="12.75">
      <c r="A4" s="79" t="s">
        <v>27</v>
      </c>
      <c r="B4" s="72"/>
      <c r="C4" s="72"/>
      <c r="D4" s="72"/>
      <c r="E4" s="72"/>
      <c r="F4" s="72"/>
      <c r="G4" s="72"/>
      <c r="H4" s="72"/>
      <c r="I4" s="78"/>
    </row>
    <row r="5" spans="1:10" ht="12.75">
      <c r="A5" s="71" t="s">
        <v>36</v>
      </c>
      <c r="B5" s="72"/>
      <c r="C5" s="72"/>
      <c r="D5" s="72"/>
      <c r="E5" s="72"/>
      <c r="F5" s="72"/>
      <c r="G5" s="72"/>
      <c r="H5" s="72"/>
      <c r="I5" s="78"/>
      <c r="J5" s="78"/>
    </row>
    <row r="6" spans="1:8" ht="12.75">
      <c r="A6" s="73"/>
      <c r="B6" s="72"/>
      <c r="F6" s="72"/>
      <c r="G6" s="72"/>
      <c r="H6" s="72"/>
    </row>
    <row r="7" spans="1:10" ht="12.75">
      <c r="A7" s="74" t="s">
        <v>28</v>
      </c>
      <c r="B7" s="75" t="s">
        <v>7</v>
      </c>
      <c r="C7" s="75"/>
      <c r="D7" s="75"/>
      <c r="E7" s="75" t="s">
        <v>8</v>
      </c>
      <c r="F7" s="75"/>
      <c r="G7" s="75"/>
      <c r="H7" s="80" t="s">
        <v>80</v>
      </c>
      <c r="I7" s="81"/>
      <c r="J7" s="81"/>
    </row>
    <row r="8" spans="1:10" ht="12.75">
      <c r="A8" s="76" t="s">
        <v>29</v>
      </c>
      <c r="B8" s="77" t="s">
        <v>3</v>
      </c>
      <c r="C8" s="77" t="s">
        <v>30</v>
      </c>
      <c r="D8" s="77" t="s">
        <v>5</v>
      </c>
      <c r="E8" s="77" t="s">
        <v>3</v>
      </c>
      <c r="F8" s="77" t="s">
        <v>30</v>
      </c>
      <c r="G8" s="77" t="s">
        <v>5</v>
      </c>
      <c r="H8" s="77" t="s">
        <v>3</v>
      </c>
      <c r="I8" s="77" t="s">
        <v>30</v>
      </c>
      <c r="J8" s="77" t="s">
        <v>5</v>
      </c>
    </row>
    <row r="9" spans="1:10" ht="12.75">
      <c r="A9" s="62" t="s">
        <v>31</v>
      </c>
      <c r="B9" s="46">
        <f>205+215+249</f>
        <v>669</v>
      </c>
      <c r="C9" s="46">
        <f>91+109+132</f>
        <v>332</v>
      </c>
      <c r="D9" s="82">
        <f>B9-C9</f>
        <v>337</v>
      </c>
      <c r="E9" s="46">
        <f>159+148+184</f>
        <v>491</v>
      </c>
      <c r="F9" s="46">
        <f>83+73+111</f>
        <v>267</v>
      </c>
      <c r="G9" s="82">
        <f>E9-F9</f>
        <v>224</v>
      </c>
      <c r="H9" s="46">
        <f>B9-E9</f>
        <v>178</v>
      </c>
      <c r="I9" s="46">
        <f>C9-F9</f>
        <v>65</v>
      </c>
      <c r="J9" s="46">
        <f>D9-G9</f>
        <v>113</v>
      </c>
    </row>
    <row r="10" spans="1:10" ht="12.75">
      <c r="A10" s="62" t="s">
        <v>32</v>
      </c>
      <c r="B10" s="46">
        <f>231+216+303</f>
        <v>750</v>
      </c>
      <c r="C10" s="46">
        <f>117+125+159</f>
        <v>401</v>
      </c>
      <c r="D10" s="82">
        <f aca="true" t="shared" si="0" ref="D10:D33">B10-C10</f>
        <v>349</v>
      </c>
      <c r="E10" s="46">
        <f>161+169+156</f>
        <v>486</v>
      </c>
      <c r="F10" s="46">
        <f>76+90+84</f>
        <v>250</v>
      </c>
      <c r="G10" s="82">
        <f aca="true" t="shared" si="1" ref="G10:G33">E10-F10</f>
        <v>236</v>
      </c>
      <c r="H10" s="46">
        <f aca="true" t="shared" si="2" ref="H10:H33">B10-E10</f>
        <v>264</v>
      </c>
      <c r="I10" s="46">
        <f aca="true" t="shared" si="3" ref="I10:I33">C10-F10</f>
        <v>151</v>
      </c>
      <c r="J10" s="46">
        <f aca="true" t="shared" si="4" ref="J10:J33">D10-G10</f>
        <v>113</v>
      </c>
    </row>
    <row r="11" spans="1:10" ht="12.75">
      <c r="A11" s="62" t="s">
        <v>33</v>
      </c>
      <c r="B11" s="46">
        <f>207+177+221</f>
        <v>605</v>
      </c>
      <c r="C11" s="46">
        <f>99+85+82</f>
        <v>266</v>
      </c>
      <c r="D11" s="82">
        <f t="shared" si="0"/>
        <v>339</v>
      </c>
      <c r="E11" s="46">
        <f>236+209+269</f>
        <v>714</v>
      </c>
      <c r="F11" s="46">
        <f>113+111+156</f>
        <v>380</v>
      </c>
      <c r="G11" s="82">
        <f t="shared" si="1"/>
        <v>334</v>
      </c>
      <c r="H11" s="46">
        <f t="shared" si="2"/>
        <v>-109</v>
      </c>
      <c r="I11" s="46">
        <f t="shared" si="3"/>
        <v>-114</v>
      </c>
      <c r="J11" s="46">
        <f t="shared" si="4"/>
        <v>5</v>
      </c>
    </row>
    <row r="12" spans="1:10" ht="12.75">
      <c r="A12" s="62" t="s">
        <v>34</v>
      </c>
      <c r="B12" s="46">
        <f>110+79+72</f>
        <v>261</v>
      </c>
      <c r="C12" s="46">
        <f>56+43+39</f>
        <v>138</v>
      </c>
      <c r="D12" s="82">
        <f t="shared" si="0"/>
        <v>123</v>
      </c>
      <c r="E12" s="46">
        <f>55+42+61</f>
        <v>158</v>
      </c>
      <c r="F12" s="46">
        <f>28+25+30</f>
        <v>83</v>
      </c>
      <c r="G12" s="82">
        <f t="shared" si="1"/>
        <v>75</v>
      </c>
      <c r="H12" s="46">
        <f t="shared" si="2"/>
        <v>103</v>
      </c>
      <c r="I12" s="46">
        <f t="shared" si="3"/>
        <v>55</v>
      </c>
      <c r="J12" s="46">
        <f t="shared" si="4"/>
        <v>48</v>
      </c>
    </row>
    <row r="13" spans="1:10" ht="12.75">
      <c r="A13" s="62" t="s">
        <v>35</v>
      </c>
      <c r="B13" s="46">
        <f>97+107+125</f>
        <v>329</v>
      </c>
      <c r="C13" s="46">
        <f>48+49+54</f>
        <v>151</v>
      </c>
      <c r="D13" s="82">
        <f t="shared" si="0"/>
        <v>178</v>
      </c>
      <c r="E13" s="46">
        <f>73+68+75</f>
        <v>216</v>
      </c>
      <c r="F13" s="46">
        <f>34+30+37</f>
        <v>101</v>
      </c>
      <c r="G13" s="82">
        <f t="shared" si="1"/>
        <v>115</v>
      </c>
      <c r="H13" s="46">
        <f t="shared" si="2"/>
        <v>113</v>
      </c>
      <c r="I13" s="46">
        <f t="shared" si="3"/>
        <v>50</v>
      </c>
      <c r="J13" s="46">
        <f t="shared" si="4"/>
        <v>63</v>
      </c>
    </row>
    <row r="14" spans="1:10" ht="12.75">
      <c r="A14" s="62" t="s">
        <v>37</v>
      </c>
      <c r="B14" s="46">
        <f>210+169+226</f>
        <v>605</v>
      </c>
      <c r="C14" s="46">
        <f>101+91+105</f>
        <v>297</v>
      </c>
      <c r="D14" s="82">
        <f t="shared" si="0"/>
        <v>308</v>
      </c>
      <c r="E14" s="46">
        <f>121+117+143</f>
        <v>381</v>
      </c>
      <c r="F14" s="46">
        <f>61+63+75</f>
        <v>199</v>
      </c>
      <c r="G14" s="82">
        <f t="shared" si="1"/>
        <v>182</v>
      </c>
      <c r="H14" s="46">
        <f t="shared" si="2"/>
        <v>224</v>
      </c>
      <c r="I14" s="46">
        <f t="shared" si="3"/>
        <v>98</v>
      </c>
      <c r="J14" s="46">
        <f t="shared" si="4"/>
        <v>126</v>
      </c>
    </row>
    <row r="15" spans="1:10" ht="12.75">
      <c r="A15" s="62" t="s">
        <v>38</v>
      </c>
      <c r="B15" s="46">
        <f>354+339+384</f>
        <v>1077</v>
      </c>
      <c r="C15" s="46">
        <f>188+177+197</f>
        <v>562</v>
      </c>
      <c r="D15" s="82">
        <f t="shared" si="0"/>
        <v>515</v>
      </c>
      <c r="E15" s="46">
        <f>171+152+189</f>
        <v>512</v>
      </c>
      <c r="F15" s="46">
        <f>84+65+103</f>
        <v>252</v>
      </c>
      <c r="G15" s="82">
        <f t="shared" si="1"/>
        <v>260</v>
      </c>
      <c r="H15" s="46">
        <f t="shared" si="2"/>
        <v>565</v>
      </c>
      <c r="I15" s="46">
        <f t="shared" si="3"/>
        <v>310</v>
      </c>
      <c r="J15" s="46">
        <f t="shared" si="4"/>
        <v>255</v>
      </c>
    </row>
    <row r="16" spans="1:10" ht="12.75">
      <c r="A16" s="62" t="s">
        <v>39</v>
      </c>
      <c r="B16" s="46">
        <f>1031+924+1169</f>
        <v>3124</v>
      </c>
      <c r="C16" s="46">
        <f>1556</f>
        <v>1556</v>
      </c>
      <c r="D16" s="82">
        <f t="shared" si="0"/>
        <v>1568</v>
      </c>
      <c r="E16" s="46">
        <f>930+855+959</f>
        <v>2744</v>
      </c>
      <c r="F16" s="46">
        <f>465+414+456</f>
        <v>1335</v>
      </c>
      <c r="G16" s="82">
        <f t="shared" si="1"/>
        <v>1409</v>
      </c>
      <c r="H16" s="46">
        <f t="shared" si="2"/>
        <v>380</v>
      </c>
      <c r="I16" s="46">
        <f t="shared" si="3"/>
        <v>221</v>
      </c>
      <c r="J16" s="46">
        <f t="shared" si="4"/>
        <v>159</v>
      </c>
    </row>
    <row r="17" spans="1:10" ht="12.75">
      <c r="A17" s="62" t="s">
        <v>40</v>
      </c>
      <c r="B17" s="46">
        <f>482+469+628</f>
        <v>1579</v>
      </c>
      <c r="C17" s="46">
        <f>252+229+313</f>
        <v>794</v>
      </c>
      <c r="D17" s="82">
        <f t="shared" si="0"/>
        <v>785</v>
      </c>
      <c r="E17" s="46">
        <f>304+292+365</f>
        <v>961</v>
      </c>
      <c r="F17" s="46">
        <f>148+136+195</f>
        <v>479</v>
      </c>
      <c r="G17" s="82">
        <f t="shared" si="1"/>
        <v>482</v>
      </c>
      <c r="H17" s="46">
        <f t="shared" si="2"/>
        <v>618</v>
      </c>
      <c r="I17" s="46">
        <f t="shared" si="3"/>
        <v>315</v>
      </c>
      <c r="J17" s="46">
        <f t="shared" si="4"/>
        <v>303</v>
      </c>
    </row>
    <row r="18" spans="1:10" ht="12.75">
      <c r="A18" s="62" t="s">
        <v>41</v>
      </c>
      <c r="B18" s="46">
        <f>63+60+69</f>
        <v>192</v>
      </c>
      <c r="C18" s="46">
        <f>26+34+44</f>
        <v>104</v>
      </c>
      <c r="D18" s="82">
        <f t="shared" si="0"/>
        <v>88</v>
      </c>
      <c r="E18" s="46">
        <f>40+30+49</f>
        <v>119</v>
      </c>
      <c r="F18" s="46">
        <f>16+12+23</f>
        <v>51</v>
      </c>
      <c r="G18" s="82">
        <f t="shared" si="1"/>
        <v>68</v>
      </c>
      <c r="H18" s="46">
        <f t="shared" si="2"/>
        <v>73</v>
      </c>
      <c r="I18" s="46">
        <f t="shared" si="3"/>
        <v>53</v>
      </c>
      <c r="J18" s="46">
        <f t="shared" si="4"/>
        <v>20</v>
      </c>
    </row>
    <row r="19" spans="1:10" ht="12.75">
      <c r="A19" s="62" t="s">
        <v>42</v>
      </c>
      <c r="B19" s="46">
        <f>15+13+21</f>
        <v>49</v>
      </c>
      <c r="C19" s="46">
        <f>11+7+11</f>
        <v>29</v>
      </c>
      <c r="D19" s="82">
        <f t="shared" si="0"/>
        <v>20</v>
      </c>
      <c r="E19" s="46">
        <f>9+3+8</f>
        <v>20</v>
      </c>
      <c r="F19" s="46">
        <f>5+2+4</f>
        <v>11</v>
      </c>
      <c r="G19" s="82">
        <f t="shared" si="1"/>
        <v>9</v>
      </c>
      <c r="H19" s="46">
        <f t="shared" si="2"/>
        <v>29</v>
      </c>
      <c r="I19" s="46">
        <f t="shared" si="3"/>
        <v>18</v>
      </c>
      <c r="J19" s="46">
        <f t="shared" si="4"/>
        <v>11</v>
      </c>
    </row>
    <row r="20" spans="1:10" ht="12.75">
      <c r="A20" s="83" t="s">
        <v>43</v>
      </c>
      <c r="B20" s="46">
        <f>107+90+66</f>
        <v>263</v>
      </c>
      <c r="C20" s="46">
        <f>63+47+27</f>
        <v>137</v>
      </c>
      <c r="D20" s="82">
        <f t="shared" si="0"/>
        <v>126</v>
      </c>
      <c r="E20" s="46">
        <f>45+30+45</f>
        <v>120</v>
      </c>
      <c r="F20" s="46">
        <f>20+15+28</f>
        <v>63</v>
      </c>
      <c r="G20" s="82">
        <f t="shared" si="1"/>
        <v>57</v>
      </c>
      <c r="H20" s="46">
        <f t="shared" si="2"/>
        <v>143</v>
      </c>
      <c r="I20" s="46">
        <f t="shared" si="3"/>
        <v>74</v>
      </c>
      <c r="J20" s="46">
        <f t="shared" si="4"/>
        <v>69</v>
      </c>
    </row>
    <row r="21" spans="1:10" ht="12.75">
      <c r="A21" s="62" t="s">
        <v>44</v>
      </c>
      <c r="B21" s="46">
        <f>70+54+94</f>
        <v>218</v>
      </c>
      <c r="C21" s="46">
        <f>33+26+39</f>
        <v>98</v>
      </c>
      <c r="D21" s="82">
        <f t="shared" si="0"/>
        <v>120</v>
      </c>
      <c r="E21" s="46">
        <f>25+33+26</f>
        <v>84</v>
      </c>
      <c r="F21" s="46">
        <f>18+20+14</f>
        <v>52</v>
      </c>
      <c r="G21" s="82">
        <f t="shared" si="1"/>
        <v>32</v>
      </c>
      <c r="H21" s="46">
        <f t="shared" si="2"/>
        <v>134</v>
      </c>
      <c r="I21" s="46">
        <f t="shared" si="3"/>
        <v>46</v>
      </c>
      <c r="J21" s="46">
        <f t="shared" si="4"/>
        <v>88</v>
      </c>
    </row>
    <row r="22" spans="1:10" ht="12.75">
      <c r="A22" s="62" t="s">
        <v>26</v>
      </c>
      <c r="B22" s="46">
        <f>1616+1727+1827</f>
        <v>5170</v>
      </c>
      <c r="C22" s="46">
        <f>744+842+857</f>
        <v>2443</v>
      </c>
      <c r="D22" s="82">
        <f t="shared" si="0"/>
        <v>2727</v>
      </c>
      <c r="E22" s="46">
        <f>1692+1550+1928</f>
        <v>5170</v>
      </c>
      <c r="F22" s="46">
        <f>839+750+950</f>
        <v>2539</v>
      </c>
      <c r="G22" s="82">
        <f t="shared" si="1"/>
        <v>2631</v>
      </c>
      <c r="H22" s="93">
        <f t="shared" si="2"/>
        <v>0</v>
      </c>
      <c r="I22" s="46">
        <f t="shared" si="3"/>
        <v>-96</v>
      </c>
      <c r="J22" s="46">
        <f t="shared" si="4"/>
        <v>96</v>
      </c>
    </row>
    <row r="23" spans="1:10" ht="12.75">
      <c r="A23" s="62" t="s">
        <v>45</v>
      </c>
      <c r="B23" s="46">
        <f>32+39+49</f>
        <v>120</v>
      </c>
      <c r="C23" s="46">
        <f>18+21+24</f>
        <v>63</v>
      </c>
      <c r="D23" s="82">
        <f t="shared" si="0"/>
        <v>57</v>
      </c>
      <c r="E23" s="46">
        <f>24+26+21</f>
        <v>71</v>
      </c>
      <c r="F23" s="46">
        <f>13+12+11</f>
        <v>36</v>
      </c>
      <c r="G23" s="82">
        <f t="shared" si="1"/>
        <v>35</v>
      </c>
      <c r="H23" s="46">
        <f t="shared" si="2"/>
        <v>49</v>
      </c>
      <c r="I23" s="46">
        <f t="shared" si="3"/>
        <v>27</v>
      </c>
      <c r="J23" s="46">
        <f t="shared" si="4"/>
        <v>22</v>
      </c>
    </row>
    <row r="24" spans="1:10" ht="12.75">
      <c r="A24" s="62" t="s">
        <v>109</v>
      </c>
      <c r="B24" s="46">
        <f>SUM(B9:B23)</f>
        <v>15011</v>
      </c>
      <c r="C24" s="46">
        <f>SUM(C9:C23)</f>
        <v>7371</v>
      </c>
      <c r="D24" s="82">
        <f t="shared" si="0"/>
        <v>7640</v>
      </c>
      <c r="E24" s="46">
        <f>SUM(E9:E23)</f>
        <v>12247</v>
      </c>
      <c r="F24" s="46">
        <f>SUM(F9:F23)</f>
        <v>6098</v>
      </c>
      <c r="G24" s="82">
        <f t="shared" si="1"/>
        <v>6149</v>
      </c>
      <c r="H24" s="46">
        <f t="shared" si="2"/>
        <v>2764</v>
      </c>
      <c r="I24" s="46">
        <f t="shared" si="3"/>
        <v>1273</v>
      </c>
      <c r="J24" s="46">
        <f t="shared" si="4"/>
        <v>1491</v>
      </c>
    </row>
    <row r="25" spans="1:10" ht="12.75">
      <c r="A25" s="62" t="s">
        <v>75</v>
      </c>
      <c r="B25" s="46">
        <f>2176+1805+2295</f>
        <v>6276</v>
      </c>
      <c r="C25" s="46">
        <f>1427+1189+1493</f>
        <v>4109</v>
      </c>
      <c r="D25" s="82">
        <f t="shared" si="0"/>
        <v>2167</v>
      </c>
      <c r="E25" s="46">
        <f>1821+1764+2187</f>
        <v>5772</v>
      </c>
      <c r="F25" s="46">
        <f>1247+1170+1471</f>
        <v>3888</v>
      </c>
      <c r="G25" s="82">
        <f t="shared" si="1"/>
        <v>1884</v>
      </c>
      <c r="H25" s="46">
        <f t="shared" si="2"/>
        <v>504</v>
      </c>
      <c r="I25" s="46">
        <f t="shared" si="3"/>
        <v>221</v>
      </c>
      <c r="J25" s="46">
        <f t="shared" si="4"/>
        <v>283</v>
      </c>
    </row>
    <row r="26" spans="1:10" ht="12.75">
      <c r="A26" s="84" t="s">
        <v>76</v>
      </c>
      <c r="B26" s="65">
        <f aca="true" t="shared" si="5" ref="B26:G26">B24+B25</f>
        <v>21287</v>
      </c>
      <c r="C26" s="65">
        <f t="shared" si="5"/>
        <v>11480</v>
      </c>
      <c r="D26" s="85">
        <f t="shared" si="5"/>
        <v>9807</v>
      </c>
      <c r="E26" s="65">
        <f t="shared" si="5"/>
        <v>18019</v>
      </c>
      <c r="F26" s="65">
        <f t="shared" si="5"/>
        <v>9986</v>
      </c>
      <c r="G26" s="85">
        <f t="shared" si="5"/>
        <v>8033</v>
      </c>
      <c r="H26" s="92">
        <f t="shared" si="2"/>
        <v>3268</v>
      </c>
      <c r="I26" s="92">
        <f t="shared" si="3"/>
        <v>1494</v>
      </c>
      <c r="J26" s="92">
        <f t="shared" si="4"/>
        <v>1774</v>
      </c>
    </row>
    <row r="27" spans="1:10" ht="12.75">
      <c r="A27" s="86" t="s">
        <v>77</v>
      </c>
      <c r="B27" s="51"/>
      <c r="C27" s="51"/>
      <c r="D27" s="82">
        <f t="shared" si="0"/>
        <v>0</v>
      </c>
      <c r="E27" s="51"/>
      <c r="F27" s="51"/>
      <c r="G27" s="82">
        <f t="shared" si="1"/>
        <v>0</v>
      </c>
      <c r="H27" s="46">
        <f t="shared" si="2"/>
        <v>0</v>
      </c>
      <c r="I27" s="46">
        <f t="shared" si="3"/>
        <v>0</v>
      </c>
      <c r="J27" s="46">
        <f t="shared" si="4"/>
        <v>0</v>
      </c>
    </row>
    <row r="28" spans="1:10" ht="12.75">
      <c r="A28" s="86" t="s">
        <v>78</v>
      </c>
      <c r="B28" s="95">
        <f>239+219+208</f>
        <v>666</v>
      </c>
      <c r="C28" s="95">
        <f>92+105+95</f>
        <v>292</v>
      </c>
      <c r="D28" s="82">
        <f t="shared" si="0"/>
        <v>374</v>
      </c>
      <c r="E28" s="95">
        <f>190+161+197</f>
        <v>548</v>
      </c>
      <c r="F28" s="95">
        <f>93+75+100</f>
        <v>268</v>
      </c>
      <c r="G28" s="82">
        <f t="shared" si="1"/>
        <v>280</v>
      </c>
      <c r="H28" s="46">
        <f t="shared" si="2"/>
        <v>118</v>
      </c>
      <c r="I28" s="46">
        <f t="shared" si="3"/>
        <v>24</v>
      </c>
      <c r="J28" s="46">
        <f t="shared" si="4"/>
        <v>94</v>
      </c>
    </row>
    <row r="29" spans="1:10" ht="12.75">
      <c r="A29" s="86" t="s">
        <v>19</v>
      </c>
      <c r="B29" s="95">
        <f>316+429+427</f>
        <v>1172</v>
      </c>
      <c r="C29" s="95">
        <f>158+214+202</f>
        <v>574</v>
      </c>
      <c r="D29" s="82">
        <f t="shared" si="0"/>
        <v>598</v>
      </c>
      <c r="E29" s="95">
        <f>424+378+458</f>
        <v>1260</v>
      </c>
      <c r="F29" s="95">
        <f>204+190+235</f>
        <v>629</v>
      </c>
      <c r="G29" s="82">
        <f t="shared" si="1"/>
        <v>631</v>
      </c>
      <c r="H29" s="46">
        <f t="shared" si="2"/>
        <v>-88</v>
      </c>
      <c r="I29" s="46">
        <f t="shared" si="3"/>
        <v>-55</v>
      </c>
      <c r="J29" s="46">
        <f t="shared" si="4"/>
        <v>-33</v>
      </c>
    </row>
    <row r="30" spans="1:10" ht="12.75">
      <c r="A30" s="86" t="s">
        <v>23</v>
      </c>
      <c r="B30" s="95">
        <f>250+283+345</f>
        <v>878</v>
      </c>
      <c r="C30" s="95">
        <f>130+139+156</f>
        <v>425</v>
      </c>
      <c r="D30" s="82">
        <f t="shared" si="0"/>
        <v>453</v>
      </c>
      <c r="E30" s="95">
        <f>286+273+342</f>
        <v>901</v>
      </c>
      <c r="F30" s="95">
        <f>140+126+167</f>
        <v>433</v>
      </c>
      <c r="G30" s="82">
        <f t="shared" si="1"/>
        <v>468</v>
      </c>
      <c r="H30" s="46">
        <f t="shared" si="2"/>
        <v>-23</v>
      </c>
      <c r="I30" s="46">
        <f t="shared" si="3"/>
        <v>-8</v>
      </c>
      <c r="J30" s="46">
        <f t="shared" si="4"/>
        <v>-15</v>
      </c>
    </row>
    <row r="31" spans="1:10" ht="12.75">
      <c r="A31" s="86" t="s">
        <v>25</v>
      </c>
      <c r="B31" s="95">
        <f>362+338+343</f>
        <v>1043</v>
      </c>
      <c r="C31" s="95">
        <f>162+165+156</f>
        <v>483</v>
      </c>
      <c r="D31" s="82">
        <f t="shared" si="0"/>
        <v>560</v>
      </c>
      <c r="E31" s="95">
        <f>419+412+456</f>
        <v>1287</v>
      </c>
      <c r="F31" s="95">
        <f>218+199+219</f>
        <v>636</v>
      </c>
      <c r="G31" s="82">
        <f t="shared" si="1"/>
        <v>651</v>
      </c>
      <c r="H31" s="46">
        <f t="shared" si="2"/>
        <v>-244</v>
      </c>
      <c r="I31" s="46">
        <f t="shared" si="3"/>
        <v>-153</v>
      </c>
      <c r="J31" s="46">
        <f t="shared" si="4"/>
        <v>-91</v>
      </c>
    </row>
    <row r="32" spans="1:10" ht="12.75">
      <c r="A32" s="86" t="s">
        <v>79</v>
      </c>
      <c r="B32" s="95">
        <f>274+245+316</f>
        <v>835</v>
      </c>
      <c r="C32" s="95">
        <f>146+118+161</f>
        <v>425</v>
      </c>
      <c r="D32" s="82">
        <f t="shared" si="0"/>
        <v>410</v>
      </c>
      <c r="E32" s="95">
        <f>343+310+330</f>
        <v>983</v>
      </c>
      <c r="F32" s="95">
        <f>169+149+158</f>
        <v>476</v>
      </c>
      <c r="G32" s="82">
        <f t="shared" si="1"/>
        <v>507</v>
      </c>
      <c r="H32" s="46">
        <f t="shared" si="2"/>
        <v>-148</v>
      </c>
      <c r="I32" s="46">
        <f t="shared" si="3"/>
        <v>-51</v>
      </c>
      <c r="J32" s="46">
        <f t="shared" si="4"/>
        <v>-97</v>
      </c>
    </row>
    <row r="33" spans="1:10" ht="12.75">
      <c r="A33" s="86" t="s">
        <v>47</v>
      </c>
      <c r="B33" s="95">
        <f>107+84+104</f>
        <v>295</v>
      </c>
      <c r="C33" s="95">
        <f>49+31+49</f>
        <v>129</v>
      </c>
      <c r="D33" s="82">
        <f t="shared" si="0"/>
        <v>166</v>
      </c>
      <c r="E33" s="95">
        <f>120+115+112</f>
        <v>347</v>
      </c>
      <c r="F33" s="95">
        <f>66+59+58</f>
        <v>183</v>
      </c>
      <c r="G33" s="82">
        <f t="shared" si="1"/>
        <v>164</v>
      </c>
      <c r="H33" s="46">
        <f t="shared" si="2"/>
        <v>-52</v>
      </c>
      <c r="I33" s="46">
        <f t="shared" si="3"/>
        <v>-54</v>
      </c>
      <c r="J33" s="46">
        <f t="shared" si="4"/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21.8515625" style="35" customWidth="1"/>
    <col min="2" max="2" width="10.421875" style="35" customWidth="1"/>
    <col min="3" max="3" width="9.8515625" style="35" customWidth="1"/>
    <col min="4" max="4" width="8.8515625" style="35" customWidth="1"/>
    <col min="5" max="6" width="9.421875" style="35" customWidth="1"/>
    <col min="7" max="7" width="7.57421875" style="35" customWidth="1"/>
    <col min="8" max="8" width="9.8515625" style="35" customWidth="1"/>
    <col min="9" max="9" width="9.00390625" style="35" customWidth="1"/>
    <col min="10" max="16384" width="11.421875" style="35" customWidth="1"/>
  </cols>
  <sheetData>
    <row r="1" spans="1:8" ht="12.75">
      <c r="A1" s="34" t="s">
        <v>69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10" ht="12.75">
      <c r="A3" s="87" t="s">
        <v>107</v>
      </c>
      <c r="B3" s="72"/>
      <c r="C3" s="72"/>
      <c r="D3" s="72"/>
      <c r="E3" s="72"/>
      <c r="F3" s="72"/>
      <c r="G3" s="72"/>
      <c r="H3" s="72"/>
      <c r="I3" s="78"/>
      <c r="J3" s="78"/>
    </row>
    <row r="4" spans="1:10" ht="12.75">
      <c r="A4" s="79" t="s">
        <v>27</v>
      </c>
      <c r="B4" s="72"/>
      <c r="C4" s="72"/>
      <c r="D4" s="72"/>
      <c r="E4" s="72"/>
      <c r="F4" s="72"/>
      <c r="G4" s="72"/>
      <c r="H4" s="72"/>
      <c r="I4" s="78"/>
      <c r="J4" s="78"/>
    </row>
    <row r="5" spans="1:10" ht="12.75">
      <c r="A5" s="71" t="s">
        <v>26</v>
      </c>
      <c r="B5" s="72"/>
      <c r="C5" s="72"/>
      <c r="D5" s="72"/>
      <c r="E5" s="72"/>
      <c r="F5" s="72"/>
      <c r="G5" s="72"/>
      <c r="H5" s="72"/>
      <c r="I5" s="78"/>
      <c r="J5" s="78"/>
    </row>
    <row r="6" spans="1:8" ht="12.75">
      <c r="A6" s="73"/>
      <c r="B6" s="72"/>
      <c r="F6" s="72"/>
      <c r="G6" s="72"/>
      <c r="H6" s="72"/>
    </row>
    <row r="7" spans="1:10" ht="25.5">
      <c r="A7" s="74" t="s">
        <v>28</v>
      </c>
      <c r="B7" s="75" t="s">
        <v>7</v>
      </c>
      <c r="C7" s="75"/>
      <c r="D7" s="75"/>
      <c r="E7" s="75" t="s">
        <v>8</v>
      </c>
      <c r="F7" s="75"/>
      <c r="G7" s="75"/>
      <c r="H7" s="80" t="s">
        <v>80</v>
      </c>
      <c r="I7" s="81"/>
      <c r="J7" s="81"/>
    </row>
    <row r="8" spans="1:10" ht="12.75">
      <c r="A8" s="76" t="s">
        <v>29</v>
      </c>
      <c r="B8" s="77" t="s">
        <v>3</v>
      </c>
      <c r="C8" s="77" t="s">
        <v>30</v>
      </c>
      <c r="D8" s="77" t="s">
        <v>5</v>
      </c>
      <c r="E8" s="77" t="s">
        <v>3</v>
      </c>
      <c r="F8" s="77" t="s">
        <v>30</v>
      </c>
      <c r="G8" s="77" t="s">
        <v>5</v>
      </c>
      <c r="H8" s="77" t="s">
        <v>3</v>
      </c>
      <c r="I8" s="77" t="s">
        <v>30</v>
      </c>
      <c r="J8" s="77" t="s">
        <v>5</v>
      </c>
    </row>
    <row r="9" spans="1:10" ht="12.75">
      <c r="A9" s="62" t="s">
        <v>31</v>
      </c>
      <c r="B9" s="46">
        <f>257+159+221</f>
        <v>637</v>
      </c>
      <c r="C9" s="46">
        <f>127+65+107</f>
        <v>299</v>
      </c>
      <c r="D9" s="82">
        <f>B9-C9</f>
        <v>338</v>
      </c>
      <c r="E9" s="46">
        <f>170+138+208</f>
        <v>516</v>
      </c>
      <c r="F9" s="46">
        <f>87+67+109</f>
        <v>263</v>
      </c>
      <c r="G9" s="82">
        <f>E9-F9</f>
        <v>253</v>
      </c>
      <c r="H9" s="63">
        <f>B9-E9</f>
        <v>121</v>
      </c>
      <c r="I9" s="63">
        <f>C9-F9</f>
        <v>36</v>
      </c>
      <c r="J9" s="63">
        <f>D9-G9</f>
        <v>85</v>
      </c>
    </row>
    <row r="10" spans="1:10" ht="12.75">
      <c r="A10" s="62" t="s">
        <v>32</v>
      </c>
      <c r="B10" s="46">
        <f>209+161+317</f>
        <v>687</v>
      </c>
      <c r="C10" s="46">
        <f>102+79+157</f>
        <v>338</v>
      </c>
      <c r="D10" s="82">
        <f aca="true" t="shared" si="0" ref="D10:D25">B10-C10</f>
        <v>349</v>
      </c>
      <c r="E10" s="46">
        <f>192+164+186</f>
        <v>542</v>
      </c>
      <c r="F10" s="46">
        <f>96+86+93</f>
        <v>275</v>
      </c>
      <c r="G10" s="82">
        <f aca="true" t="shared" si="1" ref="G10:G25">E10-F10</f>
        <v>267</v>
      </c>
      <c r="H10" s="63">
        <f aca="true" t="shared" si="2" ref="H10:H23">B10-E10</f>
        <v>145</v>
      </c>
      <c r="I10" s="63">
        <f aca="true" t="shared" si="3" ref="I10:I24">C10-F10</f>
        <v>63</v>
      </c>
      <c r="J10" s="63">
        <f aca="true" t="shared" si="4" ref="J10:J24">D10-G10</f>
        <v>82</v>
      </c>
    </row>
    <row r="11" spans="1:10" ht="12.75">
      <c r="A11" s="62" t="s">
        <v>33</v>
      </c>
      <c r="B11" s="46">
        <f>156+143+219</f>
        <v>518</v>
      </c>
      <c r="C11" s="46">
        <f>73+71+100</f>
        <v>244</v>
      </c>
      <c r="D11" s="82">
        <f t="shared" si="0"/>
        <v>274</v>
      </c>
      <c r="E11" s="46">
        <f>198+186+215</f>
        <v>599</v>
      </c>
      <c r="F11" s="46">
        <f>103+93+109</f>
        <v>305</v>
      </c>
      <c r="G11" s="82">
        <f t="shared" si="1"/>
        <v>294</v>
      </c>
      <c r="H11" s="63">
        <f t="shared" si="2"/>
        <v>-81</v>
      </c>
      <c r="I11" s="63">
        <f t="shared" si="3"/>
        <v>-61</v>
      </c>
      <c r="J11" s="63">
        <f t="shared" si="4"/>
        <v>-20</v>
      </c>
    </row>
    <row r="12" spans="1:10" ht="12.75">
      <c r="A12" s="62" t="s">
        <v>34</v>
      </c>
      <c r="B12" s="46">
        <f>137+88+111</f>
        <v>336</v>
      </c>
      <c r="C12" s="46">
        <f>75+43+56</f>
        <v>174</v>
      </c>
      <c r="D12" s="82">
        <f t="shared" si="0"/>
        <v>162</v>
      </c>
      <c r="E12" s="46">
        <f>87+62+71</f>
        <v>220</v>
      </c>
      <c r="F12" s="46">
        <f>50+28+36</f>
        <v>114</v>
      </c>
      <c r="G12" s="82">
        <f t="shared" si="1"/>
        <v>106</v>
      </c>
      <c r="H12" s="63">
        <f t="shared" si="2"/>
        <v>116</v>
      </c>
      <c r="I12" s="63">
        <f t="shared" si="3"/>
        <v>60</v>
      </c>
      <c r="J12" s="63">
        <f t="shared" si="4"/>
        <v>56</v>
      </c>
    </row>
    <row r="13" spans="1:10" ht="12.75">
      <c r="A13" s="62" t="s">
        <v>35</v>
      </c>
      <c r="B13" s="46">
        <f>62+63+82</f>
        <v>207</v>
      </c>
      <c r="C13" s="46">
        <f>32+35+33</f>
        <v>100</v>
      </c>
      <c r="D13" s="82">
        <f t="shared" si="0"/>
        <v>107</v>
      </c>
      <c r="E13" s="46">
        <f>53+89+83</f>
        <v>225</v>
      </c>
      <c r="F13" s="46">
        <f>26+50+43</f>
        <v>119</v>
      </c>
      <c r="G13" s="82">
        <f t="shared" si="1"/>
        <v>106</v>
      </c>
      <c r="H13" s="63">
        <f t="shared" si="2"/>
        <v>-18</v>
      </c>
      <c r="I13" s="63">
        <f t="shared" si="3"/>
        <v>-19</v>
      </c>
      <c r="J13" s="63">
        <f t="shared" si="4"/>
        <v>1</v>
      </c>
    </row>
    <row r="14" spans="1:10" ht="12.75">
      <c r="A14" s="62" t="s">
        <v>36</v>
      </c>
      <c r="B14" s="46">
        <f>1692+1550+1928</f>
        <v>5170</v>
      </c>
      <c r="C14" s="46">
        <f>839+750+950</f>
        <v>2539</v>
      </c>
      <c r="D14" s="82">
        <f t="shared" si="0"/>
        <v>2631</v>
      </c>
      <c r="E14" s="46">
        <f>1616+1727+1827</f>
        <v>5170</v>
      </c>
      <c r="F14" s="46">
        <f>744+842+857</f>
        <v>2443</v>
      </c>
      <c r="G14" s="82">
        <f t="shared" si="1"/>
        <v>2727</v>
      </c>
      <c r="H14" s="63">
        <f t="shared" si="2"/>
        <v>0</v>
      </c>
      <c r="I14" s="63">
        <f t="shared" si="3"/>
        <v>96</v>
      </c>
      <c r="J14" s="63">
        <f t="shared" si="4"/>
        <v>-96</v>
      </c>
    </row>
    <row r="15" spans="1:10" ht="12.75">
      <c r="A15" s="62" t="s">
        <v>37</v>
      </c>
      <c r="B15" s="46">
        <f>164+126+187</f>
        <v>477</v>
      </c>
      <c r="C15" s="46">
        <f>71+64+83</f>
        <v>218</v>
      </c>
      <c r="D15" s="82">
        <f t="shared" si="0"/>
        <v>259</v>
      </c>
      <c r="E15" s="46">
        <f>133+121+160</f>
        <v>414</v>
      </c>
      <c r="F15" s="46">
        <f>69+59+73</f>
        <v>201</v>
      </c>
      <c r="G15" s="82">
        <f t="shared" si="1"/>
        <v>213</v>
      </c>
      <c r="H15" s="63">
        <f t="shared" si="2"/>
        <v>63</v>
      </c>
      <c r="I15" s="63">
        <f t="shared" si="3"/>
        <v>17</v>
      </c>
      <c r="J15" s="63">
        <f t="shared" si="4"/>
        <v>46</v>
      </c>
    </row>
    <row r="16" spans="1:10" ht="13.5" customHeight="1">
      <c r="A16" s="62" t="s">
        <v>38</v>
      </c>
      <c r="B16" s="46">
        <f>386+392+379</f>
        <v>1157</v>
      </c>
      <c r="C16" s="46">
        <f>205+207+200</f>
        <v>612</v>
      </c>
      <c r="D16" s="82">
        <f t="shared" si="0"/>
        <v>545</v>
      </c>
      <c r="E16" s="46">
        <f>268+278+284</f>
        <v>830</v>
      </c>
      <c r="F16" s="46">
        <f>132+155+150</f>
        <v>437</v>
      </c>
      <c r="G16" s="82">
        <f t="shared" si="1"/>
        <v>393</v>
      </c>
      <c r="H16" s="63">
        <f t="shared" si="2"/>
        <v>327</v>
      </c>
      <c r="I16" s="63">
        <f t="shared" si="3"/>
        <v>175</v>
      </c>
      <c r="J16" s="63">
        <f t="shared" si="4"/>
        <v>152</v>
      </c>
    </row>
    <row r="17" spans="1:10" ht="12.75">
      <c r="A17" s="62" t="s">
        <v>39</v>
      </c>
      <c r="B17" s="46">
        <f>666+523+686</f>
        <v>1875</v>
      </c>
      <c r="C17" s="46">
        <f>340+257+357</f>
        <v>954</v>
      </c>
      <c r="D17" s="82">
        <f t="shared" si="0"/>
        <v>921</v>
      </c>
      <c r="E17" s="46">
        <f>602+586+639</f>
        <v>1827</v>
      </c>
      <c r="F17" s="46">
        <f>317+292+309</f>
        <v>918</v>
      </c>
      <c r="G17" s="82">
        <f t="shared" si="1"/>
        <v>909</v>
      </c>
      <c r="H17" s="63">
        <f t="shared" si="2"/>
        <v>48</v>
      </c>
      <c r="I17" s="63">
        <f t="shared" si="3"/>
        <v>36</v>
      </c>
      <c r="J17" s="63">
        <f t="shared" si="4"/>
        <v>12</v>
      </c>
    </row>
    <row r="18" spans="1:10" ht="12.75">
      <c r="A18" s="62" t="s">
        <v>40</v>
      </c>
      <c r="B18" s="46">
        <f>482+473+580</f>
        <v>1535</v>
      </c>
      <c r="C18" s="46">
        <f>228+239+284</f>
        <v>751</v>
      </c>
      <c r="D18" s="82">
        <f t="shared" si="0"/>
        <v>784</v>
      </c>
      <c r="E18" s="46">
        <f>374+365+422</f>
        <v>1161</v>
      </c>
      <c r="F18" s="46">
        <f>212+184+222</f>
        <v>618</v>
      </c>
      <c r="G18" s="82">
        <f t="shared" si="1"/>
        <v>543</v>
      </c>
      <c r="H18" s="63">
        <f t="shared" si="2"/>
        <v>374</v>
      </c>
      <c r="I18" s="63">
        <f t="shared" si="3"/>
        <v>133</v>
      </c>
      <c r="J18" s="63">
        <f t="shared" si="4"/>
        <v>241</v>
      </c>
    </row>
    <row r="19" spans="1:10" ht="12.75">
      <c r="A19" s="62" t="s">
        <v>41</v>
      </c>
      <c r="B19" s="46">
        <f>69+72+78</f>
        <v>219</v>
      </c>
      <c r="C19" s="46">
        <f>36+32+37</f>
        <v>105</v>
      </c>
      <c r="D19" s="82">
        <f t="shared" si="0"/>
        <v>114</v>
      </c>
      <c r="E19" s="46">
        <f>52+40+59</f>
        <v>151</v>
      </c>
      <c r="F19" s="46">
        <f>25+23+29</f>
        <v>77</v>
      </c>
      <c r="G19" s="82">
        <f t="shared" si="1"/>
        <v>74</v>
      </c>
      <c r="H19" s="63">
        <f t="shared" si="2"/>
        <v>68</v>
      </c>
      <c r="I19" s="63">
        <f t="shared" si="3"/>
        <v>28</v>
      </c>
      <c r="J19" s="63">
        <f t="shared" si="4"/>
        <v>40</v>
      </c>
    </row>
    <row r="20" spans="1:10" ht="12.75">
      <c r="A20" s="62" t="s">
        <v>42</v>
      </c>
      <c r="B20" s="46">
        <f>14+7+19</f>
        <v>40</v>
      </c>
      <c r="C20" s="46">
        <f>6+3+11</f>
        <v>20</v>
      </c>
      <c r="D20" s="82">
        <f t="shared" si="0"/>
        <v>20</v>
      </c>
      <c r="E20" s="46">
        <f>13+5+9</f>
        <v>27</v>
      </c>
      <c r="F20" s="46">
        <f>7+4+3</f>
        <v>14</v>
      </c>
      <c r="G20" s="82">
        <f t="shared" si="1"/>
        <v>13</v>
      </c>
      <c r="H20" s="63">
        <f t="shared" si="2"/>
        <v>13</v>
      </c>
      <c r="I20" s="63">
        <f t="shared" si="3"/>
        <v>6</v>
      </c>
      <c r="J20" s="63">
        <f t="shared" si="4"/>
        <v>7</v>
      </c>
    </row>
    <row r="21" spans="1:10" ht="12.75">
      <c r="A21" s="62" t="s">
        <v>43</v>
      </c>
      <c r="B21" s="46">
        <f>99+51+95</f>
        <v>245</v>
      </c>
      <c r="C21" s="46">
        <f>54+30+46</f>
        <v>130</v>
      </c>
      <c r="D21" s="82">
        <f t="shared" si="0"/>
        <v>115</v>
      </c>
      <c r="E21" s="46">
        <f>63+55+56</f>
        <v>174</v>
      </c>
      <c r="F21" s="46">
        <f>28+27+21</f>
        <v>76</v>
      </c>
      <c r="G21" s="82">
        <f t="shared" si="1"/>
        <v>98</v>
      </c>
      <c r="H21" s="63">
        <f t="shared" si="2"/>
        <v>71</v>
      </c>
      <c r="I21" s="63">
        <f t="shared" si="3"/>
        <v>54</v>
      </c>
      <c r="J21" s="63">
        <f t="shared" si="4"/>
        <v>17</v>
      </c>
    </row>
    <row r="22" spans="1:10" ht="12.75">
      <c r="A22" s="62" t="s">
        <v>44</v>
      </c>
      <c r="B22" s="46">
        <f>58+69+85</f>
        <v>212</v>
      </c>
      <c r="C22" s="46">
        <f>32+37+44</f>
        <v>113</v>
      </c>
      <c r="D22" s="82">
        <f t="shared" si="0"/>
        <v>99</v>
      </c>
      <c r="E22" s="46">
        <f>29+52+64</f>
        <v>145</v>
      </c>
      <c r="F22" s="46">
        <f>15+23+31</f>
        <v>69</v>
      </c>
      <c r="G22" s="82">
        <f t="shared" si="1"/>
        <v>76</v>
      </c>
      <c r="H22" s="63">
        <f t="shared" si="2"/>
        <v>67</v>
      </c>
      <c r="I22" s="63">
        <f t="shared" si="3"/>
        <v>44</v>
      </c>
      <c r="J22" s="63">
        <f t="shared" si="4"/>
        <v>23</v>
      </c>
    </row>
    <row r="23" spans="1:10" ht="12.75">
      <c r="A23" s="62" t="s">
        <v>45</v>
      </c>
      <c r="B23" s="46">
        <f>65+47+40</f>
        <v>152</v>
      </c>
      <c r="C23" s="46">
        <f>33+27+25</f>
        <v>85</v>
      </c>
      <c r="D23" s="82">
        <f t="shared" si="0"/>
        <v>67</v>
      </c>
      <c r="E23" s="46">
        <f>31+21+26</f>
        <v>78</v>
      </c>
      <c r="F23" s="46">
        <f>18+11+11</f>
        <v>40</v>
      </c>
      <c r="G23" s="82">
        <f t="shared" si="1"/>
        <v>38</v>
      </c>
      <c r="H23" s="63">
        <f t="shared" si="2"/>
        <v>74</v>
      </c>
      <c r="I23" s="63">
        <f t="shared" si="3"/>
        <v>45</v>
      </c>
      <c r="J23" s="63">
        <f t="shared" si="4"/>
        <v>29</v>
      </c>
    </row>
    <row r="24" spans="1:10" ht="12.75">
      <c r="A24" s="62" t="s">
        <v>109</v>
      </c>
      <c r="B24" s="46">
        <f aca="true" t="shared" si="5" ref="B24:G24">SUM(B9:B23)</f>
        <v>13467</v>
      </c>
      <c r="C24" s="46">
        <f t="shared" si="5"/>
        <v>6682</v>
      </c>
      <c r="D24" s="82">
        <f t="shared" si="5"/>
        <v>6785</v>
      </c>
      <c r="E24" s="46">
        <f t="shared" si="5"/>
        <v>12079</v>
      </c>
      <c r="F24" s="46">
        <f t="shared" si="5"/>
        <v>5969</v>
      </c>
      <c r="G24" s="82">
        <f t="shared" si="5"/>
        <v>6110</v>
      </c>
      <c r="H24" s="63">
        <f>B24-E24</f>
        <v>1388</v>
      </c>
      <c r="I24" s="63">
        <f t="shared" si="3"/>
        <v>713</v>
      </c>
      <c r="J24" s="63">
        <f t="shared" si="4"/>
        <v>675</v>
      </c>
    </row>
    <row r="25" spans="1:10" ht="12.75">
      <c r="A25" s="62" t="s">
        <v>75</v>
      </c>
      <c r="B25" s="46">
        <f>1026+988+1383</f>
        <v>3397</v>
      </c>
      <c r="C25" s="46">
        <f>601+559+818</f>
        <v>1978</v>
      </c>
      <c r="D25" s="82">
        <f t="shared" si="0"/>
        <v>1419</v>
      </c>
      <c r="E25" s="46">
        <f>1198+1070+1375</f>
        <v>3643</v>
      </c>
      <c r="F25" s="46">
        <f>747+610+868</f>
        <v>2225</v>
      </c>
      <c r="G25" s="82">
        <f t="shared" si="1"/>
        <v>1418</v>
      </c>
      <c r="H25" s="63">
        <f>B25-E25</f>
        <v>-246</v>
      </c>
      <c r="I25" s="63">
        <f>C25-F25</f>
        <v>-247</v>
      </c>
      <c r="J25" s="63">
        <f>D25-G25</f>
        <v>1</v>
      </c>
    </row>
    <row r="26" spans="1:10" ht="12.75">
      <c r="A26" s="88" t="s">
        <v>76</v>
      </c>
      <c r="B26" s="65">
        <f aca="true" t="shared" si="6" ref="B26:G26">SUM(B24:B25)</f>
        <v>16864</v>
      </c>
      <c r="C26" s="65">
        <f t="shared" si="6"/>
        <v>8660</v>
      </c>
      <c r="D26" s="85">
        <f t="shared" si="6"/>
        <v>8204</v>
      </c>
      <c r="E26" s="65">
        <f t="shared" si="6"/>
        <v>15722</v>
      </c>
      <c r="F26" s="65">
        <f t="shared" si="6"/>
        <v>8194</v>
      </c>
      <c r="G26" s="85">
        <f t="shared" si="6"/>
        <v>7528</v>
      </c>
      <c r="H26" s="66">
        <f>B26-E26</f>
        <v>1142</v>
      </c>
      <c r="I26" s="66">
        <f>C26-F26</f>
        <v>466</v>
      </c>
      <c r="J26" s="66">
        <f>D26-G26</f>
        <v>676</v>
      </c>
    </row>
    <row r="27" spans="8:10" ht="12.75">
      <c r="H27" s="63"/>
      <c r="I27" s="63"/>
      <c r="J27" s="63"/>
    </row>
    <row r="28" spans="8:10" ht="12.75">
      <c r="H28" s="63"/>
      <c r="I28" s="63"/>
      <c r="J28" s="63"/>
    </row>
    <row r="29" ht="12.75">
      <c r="F29" s="46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BruhnCh</dc:creator>
  <cp:keywords/>
  <dc:description/>
  <cp:lastModifiedBy>jaehnere</cp:lastModifiedBy>
  <cp:lastPrinted>2010-11-30T13:07:27Z</cp:lastPrinted>
  <dcterms:created xsi:type="dcterms:W3CDTF">2010-09-22T05:26:38Z</dcterms:created>
  <dcterms:modified xsi:type="dcterms:W3CDTF">2011-11-30T10:26:18Z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