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7980" windowHeight="6030" activeTab="0"/>
  </bookViews>
  <sheets>
    <sheet name="A_III_1_vj" sheetId="4" r:id="rId1"/>
    <sheet name="Tabelle 1" sheetId="1" r:id="rId2"/>
    <sheet name="Tabelle 2" sheetId="2" r:id="rId3"/>
    <sheet name="Tabelle 3" sheetId="3" r:id="rId4"/>
    <sheet name="noch Tabelle 3" sheetId="5" r:id="rId5"/>
  </sheets>
  <externalReferences>
    <externalReference r:id="rId8"/>
  </externalReferences>
  <definedNames>
    <definedName name="QJ">'[1]AIII1Q Tab1 Übersicht'!$E$5</definedName>
  </definedNames>
  <calcPr calcId="144525"/>
</workbook>
</file>

<file path=xl/sharedStrings.xml><?xml version="1.0" encoding="utf-8"?>
<sst xmlns="http://schemas.openxmlformats.org/spreadsheetml/2006/main" count="186" uniqueCount="115">
  <si>
    <t>1. Übersicht</t>
  </si>
  <si>
    <t xml:space="preserve"> </t>
  </si>
  <si>
    <t>insgesamt</t>
  </si>
  <si>
    <t xml:space="preserve">männlich </t>
  </si>
  <si>
    <t>weiblich</t>
  </si>
  <si>
    <t>über die Landesgrenze</t>
  </si>
  <si>
    <t>Zuzüge</t>
  </si>
  <si>
    <t>Fortzüge</t>
  </si>
  <si>
    <t>Kreis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</si>
  <si>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</si>
  <si>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</si>
  <si>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</si>
  <si>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</si>
  <si>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</si>
  <si>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</si>
  <si>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</si>
  <si>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</si>
  <si>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</si>
  <si>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</si>
  <si>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</si>
  <si>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</si>
  <si>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</si>
  <si>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</si>
  <si>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</si>
  <si>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</si>
  <si>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</si>
  <si>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nach Herkunfts- und Zielgebiet</t>
  </si>
  <si>
    <t>Herkunfts-</t>
  </si>
  <si>
    <t xml:space="preserve"> bzw. Zielgebiet</t>
  </si>
  <si>
    <t>männlich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</si>
  <si>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</si>
  <si>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</si>
  <si>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</si>
  <si>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</si>
  <si>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</si>
  <si>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</si>
  <si>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</si>
  <si>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</si>
  <si>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</si>
  <si>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</si>
  <si>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</si>
  <si>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</si>
  <si>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</si>
  <si>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</si>
  <si>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</si>
  <si>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Harburg</t>
  </si>
  <si>
    <t>Stade</t>
  </si>
  <si>
    <t>Merkmal</t>
  </si>
  <si>
    <t xml:space="preserve">Zuzüge </t>
  </si>
  <si>
    <t xml:space="preserve">Fortzüge </t>
  </si>
  <si>
    <t>Saldo</t>
  </si>
  <si>
    <t>Umzüge zwischen Ortsteilen innerhalb Hamburgs</t>
  </si>
  <si>
    <t>Umzüge zwischen Gemeinden innerhalb Schleswig-Holsteins</t>
  </si>
  <si>
    <t>Hinweis:</t>
  </si>
  <si>
    <t xml:space="preserve">Bundeszahlen veröffentlicht das Statistische Bundesamt in seiner Fachserie 1 "Bevölkerung und Erwerbstätigkeit", Reihe 1 "Gebiet und Bevölkerung". </t>
  </si>
  <si>
    <t xml:space="preserve">Rechtsgrundlage: </t>
  </si>
  <si>
    <t>Hamburg-Mitte</t>
  </si>
  <si>
    <t>Altona</t>
  </si>
  <si>
    <t>Eimsbüttel</t>
  </si>
  <si>
    <t>Hamburg-Nord</t>
  </si>
  <si>
    <t>Wandsbek</t>
  </si>
  <si>
    <t>Bergedorf</t>
  </si>
  <si>
    <t>Kreisfreie Städte zusammen</t>
  </si>
  <si>
    <t>Kreise zusammen</t>
  </si>
  <si>
    <t xml:space="preserve">   Schleswig-Holstein: über die Gemeindegrenzen.</t>
  </si>
  <si>
    <t>Bezirk
Kreisfreie Stadt</t>
  </si>
  <si>
    <r>
      <t xml:space="preserve">1  </t>
    </r>
    <r>
      <rPr>
        <sz val="7"/>
        <rFont val="Arial"/>
        <family val="2"/>
      </rPr>
      <t>Hamburg: über die Ortsteilsgrenzen.</t>
    </r>
  </si>
  <si>
    <t>Anstalt des öffentlichen Rechts</t>
  </si>
  <si>
    <t>D-20457 Hamburg, Steckelhörn 12</t>
  </si>
  <si>
    <t>D-24113 Kiel, Fröbelstraße 15-17</t>
  </si>
  <si>
    <t>Ausland</t>
  </si>
  <si>
    <t>Insgesamt</t>
  </si>
  <si>
    <t>nachrichtlich: Umland</t>
  </si>
  <si>
    <t>Hzgt. Lauenburg</t>
  </si>
  <si>
    <t>Landkreis Harburg</t>
  </si>
  <si>
    <t>Wanderungsgewinn oder -verlust (-)</t>
  </si>
  <si>
    <t>Statistisches Amt für Hamburg und Schleswig-Holstein</t>
  </si>
  <si>
    <t>www.statistik-nord.de</t>
  </si>
  <si>
    <t>Standort Hamburg:</t>
  </si>
  <si>
    <t>Standort Kiel: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</si>
  <si>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</si>
  <si>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</si>
  <si>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</si>
  <si>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</si>
  <si>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</si>
  <si>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</si>
  <si>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</si>
  <si>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</si>
  <si>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</si>
  <si>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</si>
  <si>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</si>
  <si>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</si>
  <si>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</si>
  <si>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</si>
  <si>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</si>
  <si>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</si>
  <si>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</si>
  <si>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</si>
  <si>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</si>
  <si>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Isolde Schlüter</t>
  </si>
  <si>
    <t>040 42831-1754</t>
  </si>
  <si>
    <t>Deutschland</t>
  </si>
  <si>
    <t>Isolde.Schlueter@statistik-nord.de</t>
  </si>
  <si>
    <t>Gesetz über die Statistik der Bevölkerungsbewegung und die Fortschreibung des Bevölkerungsstandes in der Fassung der Bekanntmachung vom 14. März 1980 (BGBl. I S.308), das zuletzt durch Artikel 1 des Gesetzes vom vom 18. Juli 2008 (BGBl. I S. 1290) geändert wurde.</t>
  </si>
  <si>
    <r>
      <t>innerhalb des Landes</t>
    </r>
    <r>
      <rPr>
        <vertAlign val="superscript"/>
        <sz val="10"/>
        <rFont val="Arial"/>
        <family val="2"/>
      </rPr>
      <t xml:space="preserve"> 1</t>
    </r>
  </si>
  <si>
    <r>
      <t xml:space="preserve">innerhalb des Landes </t>
    </r>
    <r>
      <rPr>
        <vertAlign val="superscript"/>
        <sz val="10"/>
        <rFont val="Arial"/>
        <family val="2"/>
      </rPr>
      <t>1</t>
    </r>
  </si>
  <si>
    <t>Wanderungs-gewinn
oder -verlust (-)</t>
  </si>
  <si>
    <t>A III 1-vj 3/11</t>
  </si>
  <si>
    <t>Die Wanderungen im 3. Vierteljahr 2011</t>
  </si>
  <si>
    <t>AIII 1 - vj 3/11 / Die Wanderungen in Hamburg und Schleswig-Holstein im 3. Vierteljahr 2011</t>
  </si>
  <si>
    <t>3. Vierteljahr 2010</t>
  </si>
  <si>
    <t>3. Vierteljahr 2011</t>
  </si>
  <si>
    <t>2. Zu- und Fortzüge im 3. Vierteljahr 2011</t>
  </si>
  <si>
    <t>3. Zu- und Fortzüge über die Landesgrenze im 3. Vierteljahr 2011</t>
  </si>
  <si>
    <r>
      <t>Noch:</t>
    </r>
    <r>
      <rPr>
        <b/>
        <sz val="10"/>
        <rFont val="Arial"/>
        <family val="2"/>
      </rPr>
      <t xml:space="preserve"> 3. Zu- und Fortzüge über die Landesgrenze im 32. Vierteljahr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</si>
</sst>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\ ###\ ###\ "/>
    <numFmt numFmtId="166" formatCode="####\ ###\ ###\ "/>
    <numFmt numFmtId="167" formatCode="\ #,##0"/>
    <numFmt numFmtId="168" formatCode="d/\ mmmm\ yyyy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Font="1" applyFill="1" applyBorder="1" applyAlignment="1">
      <alignment horizontal="left" wrapText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Alignment="1" applyProtection="1">
      <alignment horizontal="centerContinuous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centerContinuous"/>
      <protection hidden="1"/>
    </xf>
    <xf numFmtId="0" fontId="0" fillId="0" borderId="3" xfId="0" applyFill="1" applyBorder="1" applyAlignment="1" applyProtection="1">
      <alignment horizontal="centerContinuous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Continuous"/>
      <protection hidden="1"/>
    </xf>
    <xf numFmtId="165" fontId="3" fillId="0" borderId="0" xfId="0" applyNumberFormat="1" applyFont="1" applyFill="1" applyAlignment="1">
      <alignment wrapText="1"/>
    </xf>
    <xf numFmtId="166" fontId="0" fillId="0" borderId="0" xfId="0" applyNumberFormat="1" applyFill="1" applyBorder="1" applyAlignment="1">
      <alignment horizontal="right" wrapText="1"/>
    </xf>
    <xf numFmtId="0" fontId="0" fillId="0" borderId="5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 applyProtection="1">
      <alignment horizontal="centerContinuous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Continuous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5" fontId="6" fillId="0" borderId="0" xfId="0" applyNumberFormat="1" applyFont="1" applyFill="1" applyAlignment="1">
      <alignment wrapText="1"/>
    </xf>
    <xf numFmtId="167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 applyProtection="1">
      <alignment horizontal="centerContinuous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 vertical="top" wrapText="1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0" fillId="0" borderId="3" xfId="0" applyFill="1" applyBorder="1" applyAlignment="1" applyProtection="1">
      <alignment horizontal="centerContinuous" wrapText="1"/>
      <protection/>
    </xf>
    <xf numFmtId="0" fontId="0" fillId="0" borderId="6" xfId="0" applyFill="1" applyBorder="1" applyAlignment="1">
      <alignment horizontal="centerContinuous"/>
    </xf>
    <xf numFmtId="165" fontId="3" fillId="0" borderId="5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5" fontId="6" fillId="0" borderId="5" xfId="0" applyNumberFormat="1" applyFont="1" applyFill="1" applyBorder="1" applyAlignment="1">
      <alignment wrapText="1"/>
    </xf>
    <xf numFmtId="0" fontId="0" fillId="0" borderId="0" xfId="0" applyFont="1" applyFill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3" xfId="0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Continuous" wrapText="1"/>
      <protection hidden="1"/>
    </xf>
    <xf numFmtId="165" fontId="6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wrapText="1"/>
    </xf>
    <xf numFmtId="0" fontId="0" fillId="0" borderId="5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wrapText="1"/>
    </xf>
    <xf numFmtId="0" fontId="2" fillId="0" borderId="7" xfId="22" applyFont="1" applyFill="1" applyBorder="1" applyAlignment="1" applyProtection="1">
      <alignment/>
      <protection hidden="1"/>
    </xf>
    <xf numFmtId="0" fontId="0" fillId="0" borderId="8" xfId="22" applyFont="1" applyFill="1" applyBorder="1" applyAlignment="1" applyProtection="1">
      <alignment/>
      <protection hidden="1"/>
    </xf>
    <xf numFmtId="0" fontId="8" fillId="0" borderId="9" xfId="21" applyFont="1" applyFill="1" applyBorder="1" applyAlignment="1" applyProtection="1">
      <alignment horizontal="left"/>
      <protection hidden="1"/>
    </xf>
    <xf numFmtId="168" fontId="0" fillId="0" borderId="3" xfId="22" applyNumberFormat="1" applyFont="1" applyFill="1" applyBorder="1" applyAlignment="1" applyProtection="1">
      <alignment horizontal="left"/>
      <protection locked="0"/>
    </xf>
    <xf numFmtId="168" fontId="0" fillId="0" borderId="10" xfId="22" applyNumberFormat="1" applyFont="1" applyFill="1" applyBorder="1" applyAlignment="1" applyProtection="1">
      <alignment horizontal="left"/>
      <protection locked="0"/>
    </xf>
    <xf numFmtId="0" fontId="0" fillId="0" borderId="7" xfId="22" applyFont="1" applyFill="1" applyBorder="1" applyAlignment="1" applyProtection="1">
      <alignment horizontal="left" vertical="top" wrapText="1"/>
      <protection hidden="1"/>
    </xf>
    <xf numFmtId="0" fontId="0" fillId="0" borderId="11" xfId="22" applyFont="1" applyFill="1" applyBorder="1" applyAlignment="1" applyProtection="1">
      <alignment horizontal="left" vertical="top" wrapText="1"/>
      <protection hidden="1"/>
    </xf>
    <xf numFmtId="0" fontId="0" fillId="0" borderId="1" xfId="22" applyFont="1" applyFill="1" applyBorder="1" applyAlignment="1" applyProtection="1">
      <alignment horizontal="left" vertical="top" wrapText="1"/>
      <protection hidden="1"/>
    </xf>
    <xf numFmtId="0" fontId="0" fillId="0" borderId="8" xfId="22" applyFont="1" applyFill="1" applyBorder="1" applyAlignment="1" applyProtection="1">
      <alignment horizontal="left" vertical="top" wrapText="1"/>
      <protection hidden="1"/>
    </xf>
    <xf numFmtId="0" fontId="0" fillId="0" borderId="0" xfId="22" applyFont="1" applyFill="1" applyBorder="1" applyAlignment="1" applyProtection="1">
      <alignment horizontal="left" vertical="top" wrapText="1"/>
      <protection hidden="1"/>
    </xf>
    <xf numFmtId="0" fontId="0" fillId="0" borderId="5" xfId="22" applyFont="1" applyFill="1" applyBorder="1" applyAlignment="1" applyProtection="1">
      <alignment horizontal="left" vertical="top" wrapText="1"/>
      <protection hidden="1"/>
    </xf>
    <xf numFmtId="0" fontId="0" fillId="0" borderId="9" xfId="22" applyFont="1" applyFill="1" applyBorder="1" applyAlignment="1" applyProtection="1">
      <alignment horizontal="left" vertical="top" wrapText="1"/>
      <protection hidden="1"/>
    </xf>
    <xf numFmtId="0" fontId="0" fillId="0" borderId="12" xfId="22" applyFont="1" applyFill="1" applyBorder="1" applyAlignment="1" applyProtection="1">
      <alignment horizontal="left" vertical="top" wrapText="1"/>
      <protection hidden="1"/>
    </xf>
    <xf numFmtId="0" fontId="0" fillId="0" borderId="4" xfId="22" applyFont="1" applyFill="1" applyBorder="1" applyAlignment="1" applyProtection="1">
      <alignment horizontal="left" vertical="top" wrapText="1"/>
      <protection hidden="1"/>
    </xf>
    <xf numFmtId="0" fontId="2" fillId="2" borderId="11" xfId="22" applyFont="1" applyFill="1" applyBorder="1" applyAlignment="1" applyProtection="1">
      <alignment/>
      <protection hidden="1"/>
    </xf>
    <xf numFmtId="0" fontId="0" fillId="2" borderId="11" xfId="22" applyFont="1" applyFill="1" applyBorder="1" applyAlignment="1" applyProtection="1">
      <alignment/>
      <protection hidden="1"/>
    </xf>
    <xf numFmtId="0" fontId="0" fillId="2" borderId="1" xfId="22" applyFont="1" applyFill="1" applyBorder="1" applyAlignment="1" applyProtection="1">
      <alignment/>
      <protection hidden="1"/>
    </xf>
    <xf numFmtId="0" fontId="0" fillId="2" borderId="0" xfId="22" applyFont="1" applyFill="1" applyBorder="1" applyAlignment="1" applyProtection="1">
      <alignment vertical="top"/>
      <protection hidden="1"/>
    </xf>
    <xf numFmtId="0" fontId="0" fillId="2" borderId="0" xfId="22" applyFont="1" applyFill="1" applyBorder="1" applyAlignment="1" applyProtection="1">
      <alignment/>
      <protection hidden="1"/>
    </xf>
    <xf numFmtId="0" fontId="0" fillId="2" borderId="5" xfId="22" applyFont="1" applyFill="1" applyBorder="1" applyAlignment="1" applyProtection="1">
      <alignment/>
      <protection hidden="1"/>
    </xf>
    <xf numFmtId="0" fontId="8" fillId="2" borderId="12" xfId="21" applyFont="1" applyFill="1" applyBorder="1" applyAlignment="1" applyProtection="1">
      <alignment horizontal="left"/>
      <protection hidden="1"/>
    </xf>
    <xf numFmtId="0" fontId="0" fillId="2" borderId="12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2" borderId="11" xfId="22" applyFont="1" applyFill="1" applyBorder="1" applyProtection="1">
      <alignment/>
      <protection hidden="1"/>
    </xf>
    <xf numFmtId="0" fontId="0" fillId="2" borderId="1" xfId="22" applyFont="1" applyFill="1" applyBorder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0" fillId="2" borderId="5" xfId="22" applyFont="1" applyFill="1" applyBorder="1" applyProtection="1">
      <alignment/>
      <protection hidden="1"/>
    </xf>
    <xf numFmtId="49" fontId="0" fillId="2" borderId="0" xfId="22" applyNumberFormat="1" applyFont="1" applyFill="1" applyBorder="1" applyProtection="1">
      <alignment/>
      <protection hidden="1"/>
    </xf>
    <xf numFmtId="0" fontId="0" fillId="2" borderId="0" xfId="22" applyFont="1" applyFill="1" applyBorder="1" applyProtection="1" quotePrefix="1">
      <alignment/>
      <protection hidden="1"/>
    </xf>
    <xf numFmtId="0" fontId="10" fillId="2" borderId="12" xfId="20" applyFont="1" applyFill="1" applyBorder="1" applyAlignment="1" applyProtection="1">
      <alignment horizontal="left"/>
      <protection hidden="1"/>
    </xf>
    <xf numFmtId="0" fontId="10" fillId="2" borderId="12" xfId="21" applyFont="1" applyFill="1" applyBorder="1" applyAlignment="1" applyProtection="1">
      <alignment horizontal="left"/>
      <protection hidden="1"/>
    </xf>
    <xf numFmtId="0" fontId="10" fillId="2" borderId="4" xfId="21" applyFont="1" applyFill="1" applyBorder="1" applyAlignment="1" applyProtection="1">
      <alignment horizontal="left"/>
      <protection hidden="1"/>
    </xf>
    <xf numFmtId="0" fontId="0" fillId="2" borderId="12" xfId="22" applyFont="1" applyFill="1" applyBorder="1" applyProtection="1">
      <alignment/>
      <protection hidden="1"/>
    </xf>
    <xf numFmtId="0" fontId="2" fillId="2" borderId="0" xfId="22" applyFont="1" applyFill="1" applyBorder="1" applyAlignment="1" applyProtection="1">
      <alignment horizontal="centerContinuous"/>
      <protection hidden="1"/>
    </xf>
    <xf numFmtId="0" fontId="2" fillId="2" borderId="5" xfId="22" applyFont="1" applyFill="1" applyBorder="1" applyAlignment="1" applyProtection="1">
      <alignment horizontal="centerContinuous"/>
      <protection hidden="1"/>
    </xf>
    <xf numFmtId="0" fontId="0" fillId="2" borderId="0" xfId="22" applyFont="1" applyFill="1" applyProtection="1">
      <alignment/>
      <protection hidden="1"/>
    </xf>
    <xf numFmtId="0" fontId="0" fillId="2" borderId="7" xfId="22" applyFont="1" applyFill="1" applyBorder="1" applyProtection="1">
      <alignment/>
      <protection hidden="1"/>
    </xf>
    <xf numFmtId="0" fontId="0" fillId="2" borderId="8" xfId="22" applyFont="1" applyFill="1" applyBorder="1" applyProtection="1">
      <alignment/>
      <protection hidden="1"/>
    </xf>
    <xf numFmtId="0" fontId="0" fillId="2" borderId="9" xfId="22" applyFont="1" applyFill="1" applyBorder="1" applyProtection="1">
      <alignment/>
      <protection hidden="1"/>
    </xf>
    <xf numFmtId="0" fontId="2" fillId="2" borderId="8" xfId="22" applyFont="1" applyFill="1" applyBorder="1" applyAlignment="1" applyProtection="1">
      <alignment/>
      <protection hidden="1"/>
    </xf>
    <xf numFmtId="0" fontId="2" fillId="2" borderId="8" xfId="22" applyFont="1" applyFill="1" applyBorder="1" applyAlignment="1" applyProtection="1">
      <alignment horizontal="left"/>
      <protection hidden="1"/>
    </xf>
    <xf numFmtId="0" fontId="2" fillId="2" borderId="8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locked="0"/>
    </xf>
    <xf numFmtId="49" fontId="0" fillId="2" borderId="1" xfId="22" applyNumberFormat="1" applyFont="1" applyFill="1" applyBorder="1" applyAlignment="1" applyProtection="1">
      <alignment horizontal="left"/>
      <protection locked="0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0" fontId="11" fillId="2" borderId="12" xfId="20" applyFill="1" applyBorder="1" applyAlignment="1" applyProtection="1">
      <alignment horizontal="left"/>
      <protection locked="0"/>
    </xf>
    <xf numFmtId="0" fontId="10" fillId="2" borderId="12" xfId="21" applyFont="1" applyFill="1" applyBorder="1" applyAlignment="1" applyProtection="1">
      <alignment horizontal="left"/>
      <protection locked="0"/>
    </xf>
    <xf numFmtId="0" fontId="10" fillId="2" borderId="4" xfId="21" applyFont="1" applyFill="1" applyBorder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_A_I_2_vj061_S" xfId="21"/>
    <cellStyle name="Standard_A_I_2_vj061_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pic>
      <xdr:nvPicPr>
        <xdr:cNvPr id="1025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026" name="Picture 2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8575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kaisersa\Lokale%20Einstellungen\Temporary%20Internet%20Files\OLKAF0\A_III_1_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II1Q Tab1 Übersicht"/>
      <sheetName val="AIII1Q Tab2 ZuFort Kreise"/>
      <sheetName val="AIII1Q Tab3 ZuFort KreiseMonate"/>
      <sheetName val="AIII1Q Tab4 ZuFort HerkunftZiel"/>
      <sheetName val="AIII1Q Text"/>
    </sheetNames>
    <sheetDataSet>
      <sheetData sheetId="0">
        <row r="5">
          <cell r="E5" t="str">
            <v>1. Vierteljahr 2004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G17" sqref="G17"/>
    </sheetView>
  </sheetViews>
  <sheetFormatPr defaultColWidth="11.421875" defaultRowHeight="13.5" customHeight="1"/>
  <cols>
    <col min="1" max="1" width="18.421875" style="3" customWidth="1"/>
    <col min="2" max="2" width="18.28125" style="3" customWidth="1"/>
    <col min="3" max="16384" width="11.421875" style="3" customWidth="1"/>
  </cols>
  <sheetData>
    <row r="1" spans="1:8" ht="13.5" customHeight="1">
      <c r="A1" s="71"/>
      <c r="B1" s="85" t="s">
        <v>76</v>
      </c>
      <c r="C1" s="86"/>
      <c r="D1" s="86"/>
      <c r="E1" s="86"/>
      <c r="F1" s="86"/>
      <c r="G1" s="86"/>
      <c r="H1" s="87"/>
    </row>
    <row r="2" spans="1:8" ht="19.5" customHeight="1">
      <c r="A2" s="72"/>
      <c r="B2" s="88" t="s">
        <v>67</v>
      </c>
      <c r="C2" s="89"/>
      <c r="D2" s="89"/>
      <c r="E2" s="89"/>
      <c r="F2" s="89"/>
      <c r="G2" s="89"/>
      <c r="H2" s="90"/>
    </row>
    <row r="3" spans="1:8" ht="13.5" customHeight="1">
      <c r="A3" s="73"/>
      <c r="B3" s="91" t="s">
        <v>77</v>
      </c>
      <c r="C3" s="92"/>
      <c r="D3" s="92"/>
      <c r="E3" s="92"/>
      <c r="F3" s="92"/>
      <c r="G3" s="92"/>
      <c r="H3" s="93"/>
    </row>
    <row r="4" spans="1:8" ht="13.5" customHeight="1">
      <c r="A4" s="107" t="s">
        <v>78</v>
      </c>
      <c r="B4" s="94" t="s">
        <v>68</v>
      </c>
      <c r="C4" s="94"/>
      <c r="D4" s="95"/>
      <c r="E4" s="94" t="s">
        <v>79</v>
      </c>
      <c r="F4" s="94" t="s">
        <v>69</v>
      </c>
      <c r="G4" s="94"/>
      <c r="H4" s="95"/>
    </row>
    <row r="5" spans="1:8" ht="13.5" customHeight="1">
      <c r="A5" s="108" t="s">
        <v>80</v>
      </c>
      <c r="B5" s="96" t="s">
        <v>81</v>
      </c>
      <c r="C5" s="96"/>
      <c r="D5" s="97"/>
      <c r="E5" s="96" t="s">
        <v>80</v>
      </c>
      <c r="F5" s="96" t="s">
        <v>82</v>
      </c>
      <c r="G5" s="96"/>
      <c r="H5" s="97"/>
    </row>
    <row r="6" spans="1:8" ht="13.5" customHeight="1">
      <c r="A6" s="108" t="s">
        <v>83</v>
      </c>
      <c r="B6" s="98" t="s">
        <v>84</v>
      </c>
      <c r="C6" s="96"/>
      <c r="D6" s="97"/>
      <c r="E6" s="96" t="s">
        <v>83</v>
      </c>
      <c r="F6" s="98" t="s">
        <v>85</v>
      </c>
      <c r="G6" s="99"/>
      <c r="H6" s="97"/>
    </row>
    <row r="7" spans="1:8" ht="13.5" customHeight="1">
      <c r="A7" s="108" t="s">
        <v>86</v>
      </c>
      <c r="B7" s="98" t="s">
        <v>87</v>
      </c>
      <c r="C7" s="96"/>
      <c r="D7" s="97"/>
      <c r="E7" s="96" t="s">
        <v>86</v>
      </c>
      <c r="F7" s="98" t="s">
        <v>88</v>
      </c>
      <c r="G7" s="99"/>
      <c r="H7" s="97"/>
    </row>
    <row r="8" spans="1:8" ht="13.5" customHeight="1">
      <c r="A8" s="109" t="s">
        <v>89</v>
      </c>
      <c r="B8" s="100" t="s">
        <v>90</v>
      </c>
      <c r="C8" s="101"/>
      <c r="D8" s="102"/>
      <c r="E8" s="103" t="s">
        <v>89</v>
      </c>
      <c r="F8" s="101" t="s">
        <v>91</v>
      </c>
      <c r="G8" s="101"/>
      <c r="H8" s="102"/>
    </row>
    <row r="9" spans="1:8" ht="13.5" customHeight="1">
      <c r="A9" s="107"/>
      <c r="B9" s="94"/>
      <c r="C9" s="94"/>
      <c r="D9" s="94"/>
      <c r="E9" s="94"/>
      <c r="F9" s="94"/>
      <c r="G9" s="94"/>
      <c r="H9" s="95"/>
    </row>
    <row r="10" spans="1:8" ht="13.5" customHeight="1">
      <c r="A10" s="110" t="s">
        <v>92</v>
      </c>
      <c r="B10" s="96"/>
      <c r="C10" s="96"/>
      <c r="D10" s="96"/>
      <c r="E10" s="96"/>
      <c r="F10" s="96"/>
      <c r="G10" s="96"/>
      <c r="H10" s="97"/>
    </row>
    <row r="11" spans="1:8" ht="13.5" customHeight="1">
      <c r="A11" s="110" t="s">
        <v>107</v>
      </c>
      <c r="B11" s="96"/>
      <c r="C11" s="104"/>
      <c r="D11" s="104"/>
      <c r="E11" s="104"/>
      <c r="F11" s="104"/>
      <c r="G11" s="104"/>
      <c r="H11" s="105"/>
    </row>
    <row r="12" spans="1:8" ht="13.5" customHeight="1">
      <c r="A12" s="111" t="s">
        <v>108</v>
      </c>
      <c r="B12" s="96"/>
      <c r="C12" s="104"/>
      <c r="D12" s="104"/>
      <c r="E12" s="104"/>
      <c r="F12" s="104"/>
      <c r="G12" s="104"/>
      <c r="H12" s="105"/>
    </row>
    <row r="13" spans="1:8" ht="13.5" customHeight="1">
      <c r="A13" s="112"/>
      <c r="B13" s="96"/>
      <c r="C13" s="96"/>
      <c r="D13" s="96"/>
      <c r="E13" s="96"/>
      <c r="F13" s="96"/>
      <c r="G13" s="96"/>
      <c r="H13" s="97"/>
    </row>
    <row r="14" spans="1:8" ht="13.5" customHeight="1">
      <c r="A14" s="108"/>
      <c r="B14" s="96"/>
      <c r="C14" s="96"/>
      <c r="D14" s="96"/>
      <c r="E14" s="96"/>
      <c r="F14" s="96"/>
      <c r="G14" s="96"/>
      <c r="H14" s="97"/>
    </row>
    <row r="15" spans="1:8" ht="13.5" customHeight="1">
      <c r="A15" s="108" t="s">
        <v>93</v>
      </c>
      <c r="B15" s="96"/>
      <c r="C15" s="106"/>
      <c r="D15" s="106"/>
      <c r="E15" s="106"/>
      <c r="F15" s="106"/>
      <c r="G15" s="96" t="s">
        <v>94</v>
      </c>
      <c r="H15" s="97"/>
    </row>
    <row r="16" spans="1:8" ht="13.5" customHeight="1">
      <c r="A16" s="107" t="s">
        <v>95</v>
      </c>
      <c r="B16" s="113" t="s">
        <v>99</v>
      </c>
      <c r="C16" s="113"/>
      <c r="D16" s="113"/>
      <c r="E16" s="114"/>
      <c r="F16" s="106"/>
      <c r="G16" s="74">
        <v>41025</v>
      </c>
      <c r="H16" s="75"/>
    </row>
    <row r="17" spans="1:8" ht="13.5" customHeight="1">
      <c r="A17" s="108" t="s">
        <v>83</v>
      </c>
      <c r="B17" s="115" t="s">
        <v>100</v>
      </c>
      <c r="C17" s="115"/>
      <c r="D17" s="115"/>
      <c r="E17" s="116"/>
      <c r="F17" s="96"/>
      <c r="G17" s="96"/>
      <c r="H17" s="97"/>
    </row>
    <row r="18" spans="1:8" ht="13.5" customHeight="1">
      <c r="A18" s="109" t="s">
        <v>89</v>
      </c>
      <c r="B18" s="117" t="s">
        <v>102</v>
      </c>
      <c r="C18" s="118"/>
      <c r="D18" s="118"/>
      <c r="E18" s="119"/>
      <c r="F18" s="96"/>
      <c r="G18" s="96"/>
      <c r="H18" s="97"/>
    </row>
    <row r="19" spans="1:8" ht="13.5" customHeight="1">
      <c r="A19" s="108"/>
      <c r="B19" s="96"/>
      <c r="C19" s="96"/>
      <c r="D19" s="96"/>
      <c r="E19" s="96"/>
      <c r="F19" s="96"/>
      <c r="G19" s="96"/>
      <c r="H19" s="97"/>
    </row>
    <row r="20" spans="1:8" ht="13.5" customHeight="1">
      <c r="A20" s="76" t="s">
        <v>96</v>
      </c>
      <c r="B20" s="77"/>
      <c r="C20" s="77"/>
      <c r="D20" s="77"/>
      <c r="E20" s="77"/>
      <c r="F20" s="77"/>
      <c r="G20" s="77"/>
      <c r="H20" s="78"/>
    </row>
    <row r="21" spans="1:8" ht="13.5" customHeight="1">
      <c r="A21" s="79" t="s">
        <v>97</v>
      </c>
      <c r="B21" s="80"/>
      <c r="C21" s="80"/>
      <c r="D21" s="80"/>
      <c r="E21" s="80"/>
      <c r="F21" s="80"/>
      <c r="G21" s="80"/>
      <c r="H21" s="81"/>
    </row>
    <row r="22" spans="1:8" ht="13.5" customHeight="1">
      <c r="A22" s="82" t="s">
        <v>98</v>
      </c>
      <c r="B22" s="83"/>
      <c r="C22" s="83"/>
      <c r="D22" s="83"/>
      <c r="E22" s="83"/>
      <c r="F22" s="83"/>
      <c r="G22" s="83"/>
      <c r="H22" s="84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mailto:poststelle@statistik-nord.de"/>
    <hyperlink ref="F8" r:id="rId2" display="mailto:poststelleSH@statistik-nord.de"/>
    <hyperlink ref="B18:E18" r:id="rId3" display="isolde.schlueter@statistik-nord.de"/>
    <hyperlink ref="B18" r:id="rId4" display="mailto:Isolde.Schlueter@statistik-nord.de"/>
    <hyperlink ref="B3" r:id="rId5" display="http://www.statistik-nord.de/"/>
  </hyperlinks>
  <printOptions/>
  <pageMargins left="0.787401575" right="0.787401575" top="0.984251969" bottom="0.984251969" header="0.4921259845" footer="0.4921259845"/>
  <pageSetup horizontalDpi="600" verticalDpi="600" orientation="portrait" paperSize="9" scale="82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A2" sqref="A2"/>
    </sheetView>
  </sheetViews>
  <sheetFormatPr defaultColWidth="11.421875" defaultRowHeight="12.75"/>
  <cols>
    <col min="1" max="1" width="26.57421875" style="3" customWidth="1"/>
    <col min="2" max="2" width="13.421875" style="3" customWidth="1"/>
    <col min="3" max="3" width="12.7109375" style="3" customWidth="1"/>
    <col min="4" max="4" width="13.00390625" style="3" customWidth="1"/>
    <col min="5" max="5" width="13.421875" style="3" customWidth="1"/>
    <col min="6" max="6" width="12.8515625" style="3" customWidth="1"/>
    <col min="7" max="7" width="13.00390625" style="3" customWidth="1"/>
    <col min="8" max="16384" width="11.421875" style="3" customWidth="1"/>
  </cols>
  <sheetData>
    <row r="1" spans="1:7" ht="12.75">
      <c r="A1" s="2" t="s">
        <v>109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 customHeight="1">
      <c r="A3" s="33" t="s">
        <v>0</v>
      </c>
      <c r="B3" s="4"/>
      <c r="C3" s="4"/>
      <c r="D3" s="4"/>
      <c r="E3" s="4"/>
      <c r="F3" s="4"/>
      <c r="G3" s="4"/>
    </row>
    <row r="4" spans="1:7" ht="12.75">
      <c r="A4" s="4" t="s">
        <v>1</v>
      </c>
      <c r="B4" s="4"/>
      <c r="C4" s="4"/>
      <c r="D4" s="4"/>
      <c r="E4" s="4"/>
      <c r="F4" s="4"/>
      <c r="G4" s="4"/>
    </row>
    <row r="5" spans="1:7" ht="12.75">
      <c r="A5" s="5"/>
      <c r="B5" s="6" t="s">
        <v>110</v>
      </c>
      <c r="C5" s="6"/>
      <c r="D5" s="6"/>
      <c r="E5" s="6" t="s">
        <v>111</v>
      </c>
      <c r="F5" s="6"/>
      <c r="G5" s="7"/>
    </row>
    <row r="6" spans="1:7" ht="12.75">
      <c r="A6" s="8" t="s">
        <v>47</v>
      </c>
      <c r="B6" s="9" t="s">
        <v>2</v>
      </c>
      <c r="C6" s="9" t="s">
        <v>3</v>
      </c>
      <c r="D6" s="9" t="s">
        <v>4</v>
      </c>
      <c r="E6" s="9" t="s">
        <v>2</v>
      </c>
      <c r="F6" s="9" t="s">
        <v>3</v>
      </c>
      <c r="G6" s="10" t="s">
        <v>4</v>
      </c>
    </row>
    <row r="7" spans="1:7" ht="12.75">
      <c r="A7" s="63"/>
      <c r="B7" s="62"/>
      <c r="C7" s="62"/>
      <c r="D7" s="62"/>
      <c r="E7" s="62"/>
      <c r="F7" s="62"/>
      <c r="G7" s="62"/>
    </row>
    <row r="8" spans="1:7" ht="12.75">
      <c r="A8" s="14"/>
      <c r="B8" s="53" t="s">
        <v>35</v>
      </c>
      <c r="C8" s="11"/>
      <c r="D8" s="11"/>
      <c r="E8" s="11"/>
      <c r="F8" s="11"/>
      <c r="G8" s="11"/>
    </row>
    <row r="9" spans="1:7" ht="12.75">
      <c r="A9" s="14"/>
      <c r="B9" s="53"/>
      <c r="C9" s="11"/>
      <c r="D9" s="11"/>
      <c r="E9" s="11"/>
      <c r="F9" s="11"/>
      <c r="G9" s="11"/>
    </row>
    <row r="10" spans="1:7" ht="12.75">
      <c r="A10" s="48" t="s">
        <v>48</v>
      </c>
      <c r="B10" s="12">
        <f>9013+9215+7587</f>
        <v>25815</v>
      </c>
      <c r="C10" s="12">
        <f>4986+4703+3909</f>
        <v>13598</v>
      </c>
      <c r="D10" s="12">
        <f>B10-C10</f>
        <v>12217</v>
      </c>
      <c r="E10" s="12">
        <f>9161+10638+8054</f>
        <v>27853</v>
      </c>
      <c r="F10" s="12">
        <f>4254+5691+5003</f>
        <v>14948</v>
      </c>
      <c r="G10" s="12">
        <f>E10-F10</f>
        <v>12905</v>
      </c>
    </row>
    <row r="11" spans="1:7" ht="12.75">
      <c r="A11" s="48" t="s">
        <v>49</v>
      </c>
      <c r="B11" s="12">
        <v>21354</v>
      </c>
      <c r="C11" s="12">
        <f>3639+3897+3631</f>
        <v>11167</v>
      </c>
      <c r="D11" s="12">
        <v>10188</v>
      </c>
      <c r="E11" s="12">
        <f>7800+8411+6906</f>
        <v>23117</v>
      </c>
      <c r="F11" s="12">
        <f>4427+4562+3677</f>
        <v>12666</v>
      </c>
      <c r="G11" s="12">
        <f>E11-F11</f>
        <v>10451</v>
      </c>
    </row>
    <row r="12" spans="1:7" ht="12.75">
      <c r="A12" s="48" t="s">
        <v>50</v>
      </c>
      <c r="B12" s="12">
        <f aca="true" t="shared" si="0" ref="B12:G12">B10-B11</f>
        <v>4461</v>
      </c>
      <c r="C12" s="12">
        <f t="shared" si="0"/>
        <v>2431</v>
      </c>
      <c r="D12" s="12">
        <v>2030</v>
      </c>
      <c r="E12" s="12">
        <f t="shared" si="0"/>
        <v>4736</v>
      </c>
      <c r="F12" s="12">
        <f t="shared" si="0"/>
        <v>2282</v>
      </c>
      <c r="G12" s="12">
        <f t="shared" si="0"/>
        <v>2454</v>
      </c>
    </row>
    <row r="13" spans="1:7" ht="25.5">
      <c r="A13" s="48" t="s">
        <v>51</v>
      </c>
      <c r="B13" s="13">
        <f>8473+9015+8369</f>
        <v>25857</v>
      </c>
      <c r="C13" s="13">
        <f>4060+4403+4163</f>
        <v>12626</v>
      </c>
      <c r="D13" s="12">
        <f>B13-C13</f>
        <v>13231</v>
      </c>
      <c r="E13" s="13">
        <f>8647+9492+8275</f>
        <v>26414</v>
      </c>
      <c r="F13" s="13">
        <f>4082+4699+4295</f>
        <v>13076</v>
      </c>
      <c r="G13" s="12">
        <f>E13-F13</f>
        <v>13338</v>
      </c>
    </row>
    <row r="14" spans="1:7" ht="12.75">
      <c r="A14" s="48"/>
      <c r="B14" s="13"/>
      <c r="C14" s="13"/>
      <c r="D14" s="12"/>
      <c r="E14" s="13"/>
      <c r="F14" s="13"/>
      <c r="G14" s="12"/>
    </row>
    <row r="15" spans="1:7" ht="12.75">
      <c r="A15" s="14"/>
      <c r="B15" s="53" t="s">
        <v>25</v>
      </c>
      <c r="C15" s="11"/>
      <c r="D15" s="11"/>
      <c r="E15" s="11"/>
      <c r="F15" s="11"/>
      <c r="G15" s="11"/>
    </row>
    <row r="16" spans="1:7" ht="12.75">
      <c r="A16" s="14"/>
      <c r="B16" s="53"/>
      <c r="C16" s="11"/>
      <c r="D16" s="11"/>
      <c r="E16" s="11"/>
      <c r="F16" s="11"/>
      <c r="G16" s="11"/>
    </row>
    <row r="17" spans="1:7" ht="12.75">
      <c r="A17" s="48" t="s">
        <v>48</v>
      </c>
      <c r="B17" s="12">
        <f>7353+8539+7280</f>
        <v>23172</v>
      </c>
      <c r="C17" s="12">
        <f>3689+4256+3653</f>
        <v>11598</v>
      </c>
      <c r="D17" s="12">
        <f>B17-C17</f>
        <v>11574</v>
      </c>
      <c r="E17" s="12">
        <f>7337+9011+7207</f>
        <v>23555</v>
      </c>
      <c r="F17" s="12">
        <f>3775+4591+3684</f>
        <v>12050</v>
      </c>
      <c r="G17" s="12">
        <f>E17-F17</f>
        <v>11505</v>
      </c>
    </row>
    <row r="18" spans="1:7" ht="12.75">
      <c r="A18" s="48" t="s">
        <v>49</v>
      </c>
      <c r="B18" s="12">
        <f>6168+6894+6281</f>
        <v>19343</v>
      </c>
      <c r="C18" s="12">
        <f>3105+3374+3196</f>
        <v>9675</v>
      </c>
      <c r="D18" s="12">
        <f>B18-C18</f>
        <v>9668</v>
      </c>
      <c r="E18" s="12">
        <f>6539+7339+5855</f>
        <v>19733</v>
      </c>
      <c r="F18" s="12">
        <f>3334+3676+2936</f>
        <v>9946</v>
      </c>
      <c r="G18" s="12">
        <f>E18-F18</f>
        <v>9787</v>
      </c>
    </row>
    <row r="19" spans="1:7" ht="12.75">
      <c r="A19" s="48" t="s">
        <v>50</v>
      </c>
      <c r="B19" s="12">
        <f aca="true" t="shared" si="1" ref="B19:G19">B17-B18</f>
        <v>3829</v>
      </c>
      <c r="C19" s="12">
        <f t="shared" si="1"/>
        <v>1923</v>
      </c>
      <c r="D19" s="12">
        <f t="shared" si="1"/>
        <v>1906</v>
      </c>
      <c r="E19" s="12">
        <f t="shared" si="1"/>
        <v>3822</v>
      </c>
      <c r="F19" s="12">
        <f t="shared" si="1"/>
        <v>2104</v>
      </c>
      <c r="G19" s="12">
        <f t="shared" si="1"/>
        <v>1718</v>
      </c>
    </row>
    <row r="20" spans="1:7" ht="25.5">
      <c r="A20" s="59" t="s">
        <v>52</v>
      </c>
      <c r="B20" s="13">
        <f>10847+11494+10467</f>
        <v>32808</v>
      </c>
      <c r="C20" s="13">
        <f>5304+5577+5108</f>
        <v>15989</v>
      </c>
      <c r="D20" s="12">
        <f>B20-C20</f>
        <v>16819</v>
      </c>
      <c r="E20" s="13">
        <f>10888+12031+10251</f>
        <v>33170</v>
      </c>
      <c r="F20" s="13">
        <f>5395+5882+4974</f>
        <v>16251</v>
      </c>
      <c r="G20" s="12">
        <f>E20-F20</f>
        <v>16919</v>
      </c>
    </row>
    <row r="21" spans="1:7" ht="12.75">
      <c r="A21" s="1"/>
      <c r="B21" s="13"/>
      <c r="C21" s="13"/>
      <c r="D21" s="13"/>
      <c r="E21" s="13"/>
      <c r="F21" s="13"/>
      <c r="G21" s="13"/>
    </row>
    <row r="22" spans="1:7" ht="12.75">
      <c r="A22" s="1"/>
      <c r="B22" s="13"/>
      <c r="C22" s="13"/>
      <c r="D22" s="13"/>
      <c r="E22" s="13"/>
      <c r="F22" s="13"/>
      <c r="G22" s="13"/>
    </row>
    <row r="23" spans="1:7" ht="12.75">
      <c r="A23" s="15" t="s">
        <v>53</v>
      </c>
      <c r="B23" s="16"/>
      <c r="C23" s="16"/>
      <c r="D23" s="16"/>
      <c r="E23" s="16"/>
      <c r="F23" s="16"/>
      <c r="G23" s="16"/>
    </row>
    <row r="24" spans="1:7" ht="25.5">
      <c r="A24" s="17" t="s">
        <v>54</v>
      </c>
      <c r="B24" s="17"/>
      <c r="C24" s="17"/>
      <c r="D24" s="17"/>
      <c r="E24" s="17"/>
      <c r="F24" s="17"/>
      <c r="G24" s="17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5" t="s">
        <v>55</v>
      </c>
      <c r="B26" s="16"/>
      <c r="C26" s="16"/>
      <c r="D26" s="16"/>
      <c r="E26" s="16"/>
      <c r="F26" s="16"/>
      <c r="G26" s="16"/>
    </row>
    <row r="27" spans="1:7" ht="36" customHeight="1">
      <c r="A27" s="17" t="s">
        <v>103</v>
      </c>
      <c r="B27" s="17"/>
      <c r="C27" s="17"/>
      <c r="D27" s="17"/>
      <c r="E27" s="17"/>
      <c r="F27" s="17"/>
      <c r="G27" s="17"/>
    </row>
    <row r="30" ht="12.75">
      <c r="C30" s="3">
        <v>11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 topLeftCell="A1">
      <selection activeCell="A2" sqref="A2"/>
    </sheetView>
  </sheetViews>
  <sheetFormatPr defaultColWidth="11.421875" defaultRowHeight="12.75"/>
  <cols>
    <col min="1" max="1" width="23.00390625" style="16" customWidth="1"/>
    <col min="2" max="2" width="9.57421875" style="16" bestFit="1" customWidth="1"/>
    <col min="3" max="3" width="10.57421875" style="16" bestFit="1" customWidth="1"/>
    <col min="4" max="4" width="12.28125" style="16" customWidth="1"/>
    <col min="5" max="5" width="9.57421875" style="16" bestFit="1" customWidth="1"/>
    <col min="6" max="6" width="10.57421875" style="16" bestFit="1" customWidth="1"/>
    <col min="7" max="7" width="12.28125" style="16" customWidth="1"/>
    <col min="8" max="8" width="11.28125" style="16" customWidth="1"/>
    <col min="9" max="16384" width="11.421875" style="16" customWidth="1"/>
  </cols>
  <sheetData>
    <row r="1" spans="1:8" ht="12.75">
      <c r="A1" s="18" t="s">
        <v>109</v>
      </c>
      <c r="B1" s="18"/>
      <c r="C1" s="18"/>
      <c r="D1" s="18"/>
      <c r="E1" s="18"/>
      <c r="F1" s="18"/>
      <c r="G1" s="18"/>
      <c r="H1" s="18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55" t="s">
        <v>112</v>
      </c>
      <c r="B3" s="18"/>
      <c r="C3" s="18"/>
      <c r="D3" s="18"/>
      <c r="E3" s="18"/>
      <c r="F3" s="18"/>
      <c r="G3" s="18"/>
      <c r="H3" s="18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51">
      <c r="A5" s="20" t="s">
        <v>65</v>
      </c>
      <c r="B5" s="21" t="s">
        <v>6</v>
      </c>
      <c r="C5" s="21"/>
      <c r="D5" s="21"/>
      <c r="E5" s="21" t="s">
        <v>7</v>
      </c>
      <c r="F5" s="21"/>
      <c r="G5" s="21"/>
      <c r="H5" s="54" t="s">
        <v>106</v>
      </c>
    </row>
    <row r="6" spans="1:8" ht="41.25">
      <c r="A6" s="22" t="s">
        <v>8</v>
      </c>
      <c r="B6" s="23" t="s">
        <v>2</v>
      </c>
      <c r="C6" s="24" t="s">
        <v>104</v>
      </c>
      <c r="D6" s="23" t="s">
        <v>5</v>
      </c>
      <c r="E6" s="23" t="s">
        <v>2</v>
      </c>
      <c r="F6" s="24" t="s">
        <v>105</v>
      </c>
      <c r="G6" s="23" t="s">
        <v>5</v>
      </c>
      <c r="H6" s="34" t="s">
        <v>9</v>
      </c>
    </row>
    <row r="7" spans="1:8" ht="12.75">
      <c r="A7" s="66"/>
      <c r="B7" s="64"/>
      <c r="C7" s="65"/>
      <c r="D7" s="64"/>
      <c r="E7" s="64"/>
      <c r="F7" s="65"/>
      <c r="G7" s="64"/>
      <c r="H7" s="64"/>
    </row>
    <row r="8" spans="1:8" ht="12.75">
      <c r="A8" s="14"/>
      <c r="B8" s="25" t="s">
        <v>35</v>
      </c>
      <c r="C8" s="26"/>
      <c r="D8" s="26"/>
      <c r="E8" s="26"/>
      <c r="F8" s="26"/>
      <c r="G8" s="26"/>
      <c r="H8" s="26"/>
    </row>
    <row r="9" spans="1:8" ht="12.75">
      <c r="A9" s="14"/>
      <c r="B9" s="25"/>
      <c r="C9" s="26"/>
      <c r="D9" s="26"/>
      <c r="E9" s="26"/>
      <c r="F9" s="26"/>
      <c r="G9" s="26"/>
      <c r="H9" s="26"/>
    </row>
    <row r="10" spans="1:8" ht="12.75">
      <c r="A10" s="27" t="s">
        <v>56</v>
      </c>
      <c r="B10" s="12">
        <f>C10+D10</f>
        <v>10683</v>
      </c>
      <c r="C10" s="12">
        <f>1337+1277+1514</f>
        <v>4128</v>
      </c>
      <c r="D10" s="12">
        <f>2303+2487+1765</f>
        <v>6555</v>
      </c>
      <c r="E10" s="12">
        <f>F10+G10</f>
        <v>9591</v>
      </c>
      <c r="F10" s="12">
        <f>1427+1350+1645</f>
        <v>4422</v>
      </c>
      <c r="G10" s="12">
        <f>1820+1979+1370</f>
        <v>5169</v>
      </c>
      <c r="H10" s="28">
        <f>B10-E10</f>
        <v>1092</v>
      </c>
    </row>
    <row r="11" spans="1:8" ht="12.75">
      <c r="A11" s="27" t="s">
        <v>57</v>
      </c>
      <c r="B11" s="12">
        <f aca="true" t="shared" si="0" ref="B11:B41">C11+D11</f>
        <v>7964</v>
      </c>
      <c r="C11" s="12">
        <f>1200+1404+1506</f>
        <v>4110</v>
      </c>
      <c r="D11" s="12">
        <f>1101+1586+1167</f>
        <v>3854</v>
      </c>
      <c r="E11" s="12">
        <f aca="true" t="shared" si="1" ref="E11:E18">F11+G11</f>
        <v>7213</v>
      </c>
      <c r="F11" s="12">
        <f>1135+1318+1396</f>
        <v>3849</v>
      </c>
      <c r="G11" s="12">
        <f>1066+1123+1175</f>
        <v>3364</v>
      </c>
      <c r="H11" s="28">
        <f aca="true" t="shared" si="2" ref="H11:H43">B11-E11</f>
        <v>751</v>
      </c>
    </row>
    <row r="12" spans="1:8" ht="12.75">
      <c r="A12" s="27" t="s">
        <v>58</v>
      </c>
      <c r="B12" s="12">
        <f t="shared" si="0"/>
        <v>7775</v>
      </c>
      <c r="C12" s="12">
        <f>1306+1332+1441</f>
        <v>4079</v>
      </c>
      <c r="D12" s="12">
        <f>1180+1441+1075</f>
        <v>3696</v>
      </c>
      <c r="E12" s="12">
        <f t="shared" si="1"/>
        <v>7181</v>
      </c>
      <c r="F12" s="12">
        <f>1204+1408+1417</f>
        <v>4029</v>
      </c>
      <c r="G12" s="12">
        <f>1065+1135+952</f>
        <v>3152</v>
      </c>
      <c r="H12" s="28">
        <f t="shared" si="2"/>
        <v>594</v>
      </c>
    </row>
    <row r="13" spans="1:8" ht="12.75">
      <c r="A13" s="27" t="s">
        <v>59</v>
      </c>
      <c r="B13" s="12">
        <f t="shared" si="0"/>
        <v>10599</v>
      </c>
      <c r="C13" s="12">
        <f>1653+1819+1829</f>
        <v>5301</v>
      </c>
      <c r="D13" s="12">
        <f>1525+1965+1808</f>
        <v>5298</v>
      </c>
      <c r="E13" s="12">
        <f t="shared" si="1"/>
        <v>9759</v>
      </c>
      <c r="F13" s="12">
        <f>1852+1846+1991</f>
        <v>5689</v>
      </c>
      <c r="G13" s="12">
        <f>1292+1446+1332</f>
        <v>4070</v>
      </c>
      <c r="H13" s="28">
        <f t="shared" si="2"/>
        <v>840</v>
      </c>
    </row>
    <row r="14" spans="1:8" ht="12.75">
      <c r="A14" s="27" t="s">
        <v>60</v>
      </c>
      <c r="B14" s="12">
        <f t="shared" si="0"/>
        <v>9739</v>
      </c>
      <c r="C14" s="12">
        <f>1605+1668+1892</f>
        <v>5165</v>
      </c>
      <c r="D14" s="12">
        <f>1350+1773+1451</f>
        <v>4574</v>
      </c>
      <c r="E14" s="12">
        <f t="shared" si="1"/>
        <v>8864</v>
      </c>
      <c r="F14" s="12">
        <f>1523+1598+1729</f>
        <v>4850</v>
      </c>
      <c r="G14" s="12">
        <f>1180+1502+1332</f>
        <v>4014</v>
      </c>
      <c r="H14" s="28">
        <f t="shared" si="2"/>
        <v>875</v>
      </c>
    </row>
    <row r="15" spans="1:8" ht="12.75">
      <c r="A15" s="27" t="s">
        <v>61</v>
      </c>
      <c r="B15" s="12">
        <f t="shared" si="0"/>
        <v>2859</v>
      </c>
      <c r="C15" s="12">
        <f>462+440+548</f>
        <v>1450</v>
      </c>
      <c r="D15" s="12">
        <f>449+506+454</f>
        <v>1409</v>
      </c>
      <c r="E15" s="12">
        <f t="shared" si="1"/>
        <v>2689</v>
      </c>
      <c r="F15" s="12">
        <f>441+472+526</f>
        <v>1439</v>
      </c>
      <c r="G15" s="12">
        <f>396+497+357</f>
        <v>1250</v>
      </c>
      <c r="H15" s="28">
        <f t="shared" si="2"/>
        <v>170</v>
      </c>
    </row>
    <row r="16" spans="1:8" ht="12.75">
      <c r="A16" s="27" t="s">
        <v>45</v>
      </c>
      <c r="B16" s="12">
        <f t="shared" si="0"/>
        <v>4648</v>
      </c>
      <c r="C16" s="12">
        <f>712+707+762</f>
        <v>2181</v>
      </c>
      <c r="D16" s="12">
        <f>784+880+803</f>
        <v>2467</v>
      </c>
      <c r="E16" s="12">
        <f t="shared" si="1"/>
        <v>4234</v>
      </c>
      <c r="F16" s="12">
        <f>693+655+788</f>
        <v>2136</v>
      </c>
      <c r="G16" s="12">
        <f>719+729+650</f>
        <v>2098</v>
      </c>
      <c r="H16" s="28">
        <f t="shared" si="2"/>
        <v>414</v>
      </c>
    </row>
    <row r="17" spans="1:8" ht="12.75">
      <c r="A17" s="27"/>
      <c r="B17" s="12"/>
      <c r="C17" s="12"/>
      <c r="D17" s="12"/>
      <c r="E17" s="12"/>
      <c r="F17" s="12"/>
      <c r="G17" s="12"/>
      <c r="H17" s="28"/>
    </row>
    <row r="18" spans="1:8" ht="12.75">
      <c r="A18" s="29" t="s">
        <v>35</v>
      </c>
      <c r="B18" s="56">
        <f t="shared" si="0"/>
        <v>54267</v>
      </c>
      <c r="C18" s="30">
        <f>SUM(C10:C16)</f>
        <v>26414</v>
      </c>
      <c r="D18" s="30">
        <f>SUM(D10:D16)</f>
        <v>27853</v>
      </c>
      <c r="E18" s="56">
        <f t="shared" si="1"/>
        <v>49531</v>
      </c>
      <c r="F18" s="30">
        <f>SUM(F10:F16)</f>
        <v>26414</v>
      </c>
      <c r="G18" s="30">
        <f>SUM(G10:G16)</f>
        <v>23117</v>
      </c>
      <c r="H18" s="31">
        <f t="shared" si="2"/>
        <v>4736</v>
      </c>
    </row>
    <row r="19" spans="1:8" ht="12.75">
      <c r="A19" s="29"/>
      <c r="B19" s="56"/>
      <c r="C19" s="30"/>
      <c r="D19" s="30"/>
      <c r="E19" s="56"/>
      <c r="F19" s="30"/>
      <c r="G19" s="30"/>
      <c r="H19" s="31"/>
    </row>
    <row r="20" spans="1:8" ht="12.75">
      <c r="A20" s="14"/>
      <c r="B20" s="26" t="s">
        <v>25</v>
      </c>
      <c r="C20" s="26"/>
      <c r="D20" s="26"/>
      <c r="E20" s="26"/>
      <c r="F20" s="26"/>
      <c r="G20" s="26"/>
      <c r="H20" s="26"/>
    </row>
    <row r="21" spans="1:8" ht="12.75">
      <c r="A21" s="14"/>
      <c r="B21" s="26"/>
      <c r="C21" s="26"/>
      <c r="D21" s="26"/>
      <c r="E21" s="26"/>
      <c r="F21" s="26"/>
      <c r="G21" s="26"/>
      <c r="H21" s="26"/>
    </row>
    <row r="22" spans="1:8" ht="12.75">
      <c r="A22" s="27" t="s">
        <v>10</v>
      </c>
      <c r="B22" s="58">
        <f t="shared" si="0"/>
        <v>2336</v>
      </c>
      <c r="C22" s="12">
        <f>499+476+341</f>
        <v>1316</v>
      </c>
      <c r="D22" s="12">
        <f>401+414+205</f>
        <v>1020</v>
      </c>
      <c r="E22" s="12">
        <f>F22+G22</f>
        <v>2005</v>
      </c>
      <c r="F22" s="12">
        <f>325+414+339</f>
        <v>1078</v>
      </c>
      <c r="G22" s="12">
        <f>329+323+275</f>
        <v>927</v>
      </c>
      <c r="H22" s="57">
        <f t="shared" si="2"/>
        <v>331</v>
      </c>
    </row>
    <row r="23" spans="1:8" ht="12.75">
      <c r="A23" s="27" t="s">
        <v>11</v>
      </c>
      <c r="B23" s="58">
        <f t="shared" si="0"/>
        <v>4979</v>
      </c>
      <c r="C23" s="12">
        <f>663+850+947</f>
        <v>2460</v>
      </c>
      <c r="D23" s="12">
        <f>1066+862+591</f>
        <v>2519</v>
      </c>
      <c r="E23" s="12">
        <f aca="true" t="shared" si="3" ref="E23:E25">F23+G23</f>
        <v>4263</v>
      </c>
      <c r="F23" s="12">
        <f>652+742+655</f>
        <v>2049</v>
      </c>
      <c r="G23" s="12">
        <f>717+899+598</f>
        <v>2214</v>
      </c>
      <c r="H23" s="57">
        <f t="shared" si="2"/>
        <v>716</v>
      </c>
    </row>
    <row r="24" spans="1:8" ht="12.75">
      <c r="A24" s="27" t="s">
        <v>12</v>
      </c>
      <c r="B24" s="58">
        <f t="shared" si="0"/>
        <v>3482</v>
      </c>
      <c r="C24" s="12">
        <f>536+485+416</f>
        <v>1437</v>
      </c>
      <c r="D24" s="12">
        <f>679+741+625</f>
        <v>2045</v>
      </c>
      <c r="E24" s="12">
        <f t="shared" si="3"/>
        <v>2962</v>
      </c>
      <c r="F24" s="12">
        <f>382+461+319</f>
        <v>1162</v>
      </c>
      <c r="G24" s="12">
        <f>572+645+583</f>
        <v>1800</v>
      </c>
      <c r="H24" s="57">
        <f t="shared" si="2"/>
        <v>520</v>
      </c>
    </row>
    <row r="25" spans="1:8" ht="12.75">
      <c r="A25" s="27" t="s">
        <v>13</v>
      </c>
      <c r="B25" s="58">
        <f t="shared" si="0"/>
        <v>1396</v>
      </c>
      <c r="C25" s="12">
        <f>189+209+200</f>
        <v>598</v>
      </c>
      <c r="D25" s="12">
        <f>278+254+266</f>
        <v>798</v>
      </c>
      <c r="E25" s="12">
        <f t="shared" si="3"/>
        <v>1397</v>
      </c>
      <c r="F25" s="12">
        <f>215+372+328</f>
        <v>915</v>
      </c>
      <c r="G25" s="12">
        <f>169+174+139</f>
        <v>482</v>
      </c>
      <c r="H25" s="57">
        <f t="shared" si="2"/>
        <v>-1</v>
      </c>
    </row>
    <row r="26" spans="1:8" ht="12.75">
      <c r="A26" s="27"/>
      <c r="B26" s="58"/>
      <c r="C26" s="12"/>
      <c r="D26" s="12"/>
      <c r="E26" s="12"/>
      <c r="F26" s="12"/>
      <c r="G26" s="12"/>
      <c r="H26" s="57"/>
    </row>
    <row r="27" spans="1:8" ht="12.75" customHeight="1">
      <c r="A27" s="27" t="s">
        <v>62</v>
      </c>
      <c r="B27" s="58">
        <f t="shared" si="0"/>
        <v>12193</v>
      </c>
      <c r="C27" s="12">
        <f>SUM(C22:C25)</f>
        <v>5811</v>
      </c>
      <c r="D27" s="12">
        <f>SUM(D22:D25)</f>
        <v>6382</v>
      </c>
      <c r="E27" s="12">
        <f>SUM(E22:E25)</f>
        <v>10627</v>
      </c>
      <c r="F27" s="12">
        <f>SUM(F22:F25)</f>
        <v>5204</v>
      </c>
      <c r="G27" s="12">
        <f>SUM(G22:G25)</f>
        <v>5423</v>
      </c>
      <c r="H27" s="57">
        <f t="shared" si="2"/>
        <v>1566</v>
      </c>
    </row>
    <row r="28" spans="1:8" ht="12.75" customHeight="1">
      <c r="A28" s="27"/>
      <c r="B28" s="58"/>
      <c r="C28" s="12"/>
      <c r="D28" s="12"/>
      <c r="E28" s="12"/>
      <c r="F28" s="12"/>
      <c r="G28" s="12"/>
      <c r="H28" s="57"/>
    </row>
    <row r="29" spans="1:8" ht="12.75">
      <c r="A29" s="27" t="s">
        <v>14</v>
      </c>
      <c r="B29" s="58">
        <f t="shared" si="0"/>
        <v>2840</v>
      </c>
      <c r="C29" s="12">
        <f>622+668+658</f>
        <v>1948</v>
      </c>
      <c r="D29" s="12">
        <f>277+294+321</f>
        <v>892</v>
      </c>
      <c r="E29" s="12">
        <f>F29+G29</f>
        <v>2709</v>
      </c>
      <c r="F29" s="12">
        <f>620+693+681</f>
        <v>1994</v>
      </c>
      <c r="G29" s="12">
        <f>193+261+261</f>
        <v>715</v>
      </c>
      <c r="H29" s="57">
        <f t="shared" si="2"/>
        <v>131</v>
      </c>
    </row>
    <row r="30" spans="1:8" s="32" customFormat="1" ht="12.75">
      <c r="A30" s="27" t="s">
        <v>15</v>
      </c>
      <c r="B30" s="60">
        <f t="shared" si="0"/>
        <v>3682</v>
      </c>
      <c r="C30" s="61">
        <f>569+617+732</f>
        <v>1918</v>
      </c>
      <c r="D30" s="61">
        <f>550+519+695</f>
        <v>1764</v>
      </c>
      <c r="E30" s="12">
        <f aca="true" t="shared" si="4" ref="E30:E39">F30+G30</f>
        <v>3388</v>
      </c>
      <c r="F30" s="61">
        <f>620+557+733</f>
        <v>1910</v>
      </c>
      <c r="G30" s="61">
        <f>461+472+545</f>
        <v>1478</v>
      </c>
      <c r="H30" s="57">
        <f t="shared" si="2"/>
        <v>294</v>
      </c>
    </row>
    <row r="31" spans="1:8" ht="12.75">
      <c r="A31" s="27" t="s">
        <v>16</v>
      </c>
      <c r="B31" s="58">
        <f t="shared" si="0"/>
        <v>3623</v>
      </c>
      <c r="C31" s="12">
        <f>815+706+855</f>
        <v>2376</v>
      </c>
      <c r="D31" s="12">
        <f>441+305+501</f>
        <v>1247</v>
      </c>
      <c r="E31" s="12">
        <f t="shared" si="4"/>
        <v>3637</v>
      </c>
      <c r="F31" s="12">
        <f>833+804+879</f>
        <v>2516</v>
      </c>
      <c r="G31" s="12">
        <f>295+397+429</f>
        <v>1121</v>
      </c>
      <c r="H31" s="57">
        <f t="shared" si="2"/>
        <v>-14</v>
      </c>
    </row>
    <row r="32" spans="1:8" ht="12.75">
      <c r="A32" s="27" t="s">
        <v>17</v>
      </c>
      <c r="B32" s="58">
        <f t="shared" si="0"/>
        <v>3836</v>
      </c>
      <c r="C32" s="12">
        <f>801+805+833</f>
        <v>2439</v>
      </c>
      <c r="D32" s="12">
        <f>479+378+540</f>
        <v>1397</v>
      </c>
      <c r="E32" s="12">
        <f t="shared" si="4"/>
        <v>3693</v>
      </c>
      <c r="F32" s="12">
        <f>821+901+868</f>
        <v>2590</v>
      </c>
      <c r="G32" s="12">
        <f>295+382+426</f>
        <v>1103</v>
      </c>
      <c r="H32" s="57">
        <f t="shared" si="2"/>
        <v>143</v>
      </c>
    </row>
    <row r="33" spans="1:8" ht="12.75">
      <c r="A33" s="27" t="s">
        <v>18</v>
      </c>
      <c r="B33" s="58">
        <f t="shared" si="0"/>
        <v>6058</v>
      </c>
      <c r="C33" s="12">
        <f>823+853+1046</f>
        <v>2722</v>
      </c>
      <c r="D33" s="12">
        <f>1031+1038+1267</f>
        <v>3336</v>
      </c>
      <c r="E33" s="12">
        <f t="shared" si="4"/>
        <v>5243</v>
      </c>
      <c r="F33" s="12">
        <f>846+918+1027</f>
        <v>2791</v>
      </c>
      <c r="G33" s="12">
        <f>768+792+892</f>
        <v>2452</v>
      </c>
      <c r="H33" s="57">
        <f t="shared" si="2"/>
        <v>815</v>
      </c>
    </row>
    <row r="34" spans="1:8" ht="12.75">
      <c r="A34" s="27" t="s">
        <v>19</v>
      </c>
      <c r="B34" s="58">
        <f t="shared" si="0"/>
        <v>2383</v>
      </c>
      <c r="C34" s="12">
        <f>587+555+676</f>
        <v>1818</v>
      </c>
      <c r="D34" s="12">
        <f>174+146+245</f>
        <v>565</v>
      </c>
      <c r="E34" s="12">
        <f t="shared" si="4"/>
        <v>2453</v>
      </c>
      <c r="F34" s="12">
        <f>591+573+716</f>
        <v>1880</v>
      </c>
      <c r="G34" s="12">
        <f>145+197+231</f>
        <v>573</v>
      </c>
      <c r="H34" s="57">
        <f t="shared" si="2"/>
        <v>-70</v>
      </c>
    </row>
    <row r="35" spans="1:8" ht="12.75">
      <c r="A35" s="27" t="s">
        <v>20</v>
      </c>
      <c r="B35" s="58">
        <f t="shared" si="0"/>
        <v>5511</v>
      </c>
      <c r="C35" s="12">
        <f>1303+1353+1502</f>
        <v>4158</v>
      </c>
      <c r="D35" s="12">
        <f>436+361+556</f>
        <v>1353</v>
      </c>
      <c r="E35" s="12">
        <f t="shared" si="4"/>
        <v>5606</v>
      </c>
      <c r="F35" s="12">
        <f>1307+1405+1491</f>
        <v>4203</v>
      </c>
      <c r="G35" s="12">
        <f>382+470+551</f>
        <v>1403</v>
      </c>
      <c r="H35" s="57">
        <f t="shared" si="2"/>
        <v>-95</v>
      </c>
    </row>
    <row r="36" spans="1:8" ht="12.75">
      <c r="A36" s="27" t="s">
        <v>21</v>
      </c>
      <c r="B36" s="58">
        <f t="shared" si="0"/>
        <v>4274</v>
      </c>
      <c r="C36" s="12">
        <f>1045+1009+1192</f>
        <v>3246</v>
      </c>
      <c r="D36" s="12">
        <f>329+303+396</f>
        <v>1028</v>
      </c>
      <c r="E36" s="12">
        <f t="shared" si="4"/>
        <v>4228</v>
      </c>
      <c r="F36" s="12">
        <f>1056+1115+1215</f>
        <v>3386</v>
      </c>
      <c r="G36" s="12">
        <f>276+279+287</f>
        <v>842</v>
      </c>
      <c r="H36" s="57">
        <f t="shared" si="2"/>
        <v>46</v>
      </c>
    </row>
    <row r="37" spans="1:8" ht="12.75">
      <c r="A37" s="27" t="s">
        <v>22</v>
      </c>
      <c r="B37" s="58">
        <f t="shared" si="0"/>
        <v>5209</v>
      </c>
      <c r="C37" s="12">
        <f>878+924+1072</f>
        <v>2874</v>
      </c>
      <c r="D37" s="12">
        <f>816+609+910</f>
        <v>2335</v>
      </c>
      <c r="E37" s="12">
        <f t="shared" si="4"/>
        <v>4860</v>
      </c>
      <c r="F37" s="12">
        <f>935+972+1074</f>
        <v>2981</v>
      </c>
      <c r="G37" s="12">
        <f>563+621+695</f>
        <v>1879</v>
      </c>
      <c r="H37" s="57">
        <f t="shared" si="2"/>
        <v>349</v>
      </c>
    </row>
    <row r="38" spans="1:8" ht="12.75">
      <c r="A38" s="27" t="s">
        <v>23</v>
      </c>
      <c r="B38" s="58">
        <f t="shared" si="0"/>
        <v>2620</v>
      </c>
      <c r="C38" s="12">
        <f>594+598+675</f>
        <v>1867</v>
      </c>
      <c r="D38" s="12">
        <f>242+229+282</f>
        <v>753</v>
      </c>
      <c r="E38" s="12">
        <f t="shared" si="4"/>
        <v>2480</v>
      </c>
      <c r="F38" s="12">
        <f>564+597+606</f>
        <v>1767</v>
      </c>
      <c r="G38" s="12">
        <f>228+230+255</f>
        <v>713</v>
      </c>
      <c r="H38" s="57">
        <f t="shared" si="2"/>
        <v>140</v>
      </c>
    </row>
    <row r="39" spans="1:8" ht="12.75">
      <c r="A39" s="27" t="s">
        <v>24</v>
      </c>
      <c r="B39" s="58">
        <f t="shared" si="0"/>
        <v>4496</v>
      </c>
      <c r="C39" s="12">
        <f>594+629+770</f>
        <v>1993</v>
      </c>
      <c r="D39" s="12">
        <f>745+731+1027</f>
        <v>2503</v>
      </c>
      <c r="E39" s="12">
        <f t="shared" si="4"/>
        <v>3979</v>
      </c>
      <c r="F39" s="12">
        <f>533+663+752</f>
        <v>1948</v>
      </c>
      <c r="G39" s="12">
        <f>654+651+726</f>
        <v>2031</v>
      </c>
      <c r="H39" s="57">
        <f t="shared" si="2"/>
        <v>517</v>
      </c>
    </row>
    <row r="40" spans="1:8" ht="12.75">
      <c r="A40" s="27"/>
      <c r="B40" s="58"/>
      <c r="C40" s="12"/>
      <c r="D40" s="12"/>
      <c r="E40" s="12"/>
      <c r="F40" s="12"/>
      <c r="G40" s="12"/>
      <c r="H40" s="57"/>
    </row>
    <row r="41" spans="1:8" ht="12.75">
      <c r="A41" s="27" t="s">
        <v>63</v>
      </c>
      <c r="B41" s="58">
        <f t="shared" si="0"/>
        <v>44532</v>
      </c>
      <c r="C41" s="12">
        <f>SUM(C29:C39)</f>
        <v>27359</v>
      </c>
      <c r="D41" s="12">
        <f>SUM(D29:D39)</f>
        <v>17173</v>
      </c>
      <c r="E41" s="12">
        <f>SUM(E29:E39)</f>
        <v>42276</v>
      </c>
      <c r="F41" s="12">
        <f>SUM(F29:F39)</f>
        <v>27966</v>
      </c>
      <c r="G41" s="12">
        <f>SUM(G29:G39)</f>
        <v>14310</v>
      </c>
      <c r="H41" s="57">
        <f t="shared" si="2"/>
        <v>2256</v>
      </c>
    </row>
    <row r="42" spans="1:8" ht="12.75">
      <c r="A42" s="27"/>
      <c r="B42" s="58"/>
      <c r="C42" s="12"/>
      <c r="D42" s="12"/>
      <c r="E42" s="12"/>
      <c r="F42" s="12"/>
      <c r="G42" s="12"/>
      <c r="H42" s="57"/>
    </row>
    <row r="43" spans="1:8" ht="12.75">
      <c r="A43" s="29" t="s">
        <v>25</v>
      </c>
      <c r="B43" s="56">
        <f aca="true" t="shared" si="5" ref="B43:G43">B27+B41</f>
        <v>56725</v>
      </c>
      <c r="C43" s="56">
        <f t="shared" si="5"/>
        <v>33170</v>
      </c>
      <c r="D43" s="56">
        <f t="shared" si="5"/>
        <v>23555</v>
      </c>
      <c r="E43" s="56">
        <f t="shared" si="5"/>
        <v>52903</v>
      </c>
      <c r="F43" s="56">
        <f t="shared" si="5"/>
        <v>33170</v>
      </c>
      <c r="G43" s="56">
        <f t="shared" si="5"/>
        <v>19733</v>
      </c>
      <c r="H43" s="31">
        <f t="shared" si="2"/>
        <v>3822</v>
      </c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70" t="s">
        <v>66</v>
      </c>
      <c r="B45" s="70"/>
      <c r="C45" s="17"/>
      <c r="D45" s="17"/>
      <c r="E45" s="17"/>
      <c r="F45" s="17"/>
      <c r="G45" s="17"/>
      <c r="H45" s="17"/>
    </row>
    <row r="46" spans="1:8" ht="12.75">
      <c r="A46" s="70" t="s">
        <v>64</v>
      </c>
      <c r="B46" s="70"/>
      <c r="C46" s="17"/>
      <c r="D46" s="17"/>
      <c r="E46" s="17"/>
      <c r="F46" s="17"/>
      <c r="G46" s="17"/>
      <c r="H46" s="17"/>
    </row>
  </sheetData>
  <mergeCells count="2">
    <mergeCell ref="A45:B45"/>
    <mergeCell ref="A46:B46"/>
  </mergeCells>
  <printOptions/>
  <pageMargins left="0.787401575" right="0.787401575" top="0.984251969" bottom="0.984251969" header="0.4921259845" footer="0.492125984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 topLeftCell="A1">
      <selection activeCell="A2" sqref="A2"/>
    </sheetView>
  </sheetViews>
  <sheetFormatPr defaultColWidth="11.421875" defaultRowHeight="12.75"/>
  <cols>
    <col min="1" max="1" width="24.421875" style="3" customWidth="1"/>
    <col min="2" max="16384" width="11.421875" style="3" customWidth="1"/>
  </cols>
  <sheetData>
    <row r="1" spans="1:8" ht="12.75">
      <c r="A1" s="2" t="s">
        <v>109</v>
      </c>
      <c r="B1" s="35"/>
      <c r="C1" s="35"/>
      <c r="D1" s="35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10" ht="12.75">
      <c r="A3" s="36" t="s">
        <v>113</v>
      </c>
      <c r="B3" s="37"/>
      <c r="C3" s="37"/>
      <c r="D3" s="37"/>
      <c r="E3" s="37"/>
      <c r="F3" s="37"/>
      <c r="G3" s="37"/>
      <c r="H3" s="37"/>
      <c r="I3" s="43"/>
      <c r="J3" s="43"/>
    </row>
    <row r="4" spans="1:9" ht="12.75">
      <c r="A4" s="44" t="s">
        <v>26</v>
      </c>
      <c r="B4" s="37"/>
      <c r="C4" s="37"/>
      <c r="D4" s="37"/>
      <c r="E4" s="37"/>
      <c r="F4" s="37"/>
      <c r="G4" s="37"/>
      <c r="H4" s="37"/>
      <c r="I4" s="43"/>
    </row>
    <row r="5" spans="1:10" ht="12.75">
      <c r="A5" s="36" t="s">
        <v>35</v>
      </c>
      <c r="B5" s="37"/>
      <c r="C5" s="37"/>
      <c r="D5" s="37"/>
      <c r="E5" s="37"/>
      <c r="F5" s="37"/>
      <c r="G5" s="37"/>
      <c r="H5" s="37"/>
      <c r="I5" s="43"/>
      <c r="J5" s="43"/>
    </row>
    <row r="6" spans="1:8" ht="12.75">
      <c r="A6" s="38"/>
      <c r="B6" s="37"/>
      <c r="F6" s="37"/>
      <c r="G6" s="37"/>
      <c r="H6" s="37"/>
    </row>
    <row r="7" spans="1:10" ht="12.75">
      <c r="A7" s="39" t="s">
        <v>27</v>
      </c>
      <c r="B7" s="40" t="s">
        <v>6</v>
      </c>
      <c r="C7" s="40"/>
      <c r="D7" s="40"/>
      <c r="E7" s="40" t="s">
        <v>7</v>
      </c>
      <c r="F7" s="40"/>
      <c r="G7" s="40"/>
      <c r="H7" s="45" t="s">
        <v>75</v>
      </c>
      <c r="I7" s="46"/>
      <c r="J7" s="46"/>
    </row>
    <row r="8" spans="1:10" ht="12.75">
      <c r="A8" s="41" t="s">
        <v>28</v>
      </c>
      <c r="B8" s="42" t="s">
        <v>2</v>
      </c>
      <c r="C8" s="42" t="s">
        <v>29</v>
      </c>
      <c r="D8" s="42" t="s">
        <v>4</v>
      </c>
      <c r="E8" s="42" t="s">
        <v>2</v>
      </c>
      <c r="F8" s="42" t="s">
        <v>29</v>
      </c>
      <c r="G8" s="42" t="s">
        <v>4</v>
      </c>
      <c r="H8" s="42" t="s">
        <v>2</v>
      </c>
      <c r="I8" s="42" t="s">
        <v>29</v>
      </c>
      <c r="J8" s="42" t="s">
        <v>4</v>
      </c>
    </row>
    <row r="9" spans="1:10" ht="12.75">
      <c r="A9" s="67"/>
      <c r="B9" s="68"/>
      <c r="C9" s="68"/>
      <c r="D9" s="69"/>
      <c r="E9" s="68"/>
      <c r="F9" s="68"/>
      <c r="G9" s="69"/>
      <c r="H9" s="68"/>
      <c r="I9" s="68"/>
      <c r="J9" s="68"/>
    </row>
    <row r="10" spans="1:10" ht="12.75">
      <c r="A10" s="27" t="s">
        <v>30</v>
      </c>
      <c r="B10" s="12">
        <f>227+358+395</f>
        <v>980</v>
      </c>
      <c r="C10" s="12">
        <f>118+170+179</f>
        <v>467</v>
      </c>
      <c r="D10" s="47">
        <f>B10-C10</f>
        <v>513</v>
      </c>
      <c r="E10" s="12">
        <f>205+328+254</f>
        <v>787</v>
      </c>
      <c r="F10" s="12">
        <f>111+175+134</f>
        <v>420</v>
      </c>
      <c r="G10" s="47">
        <f>E10-F10</f>
        <v>367</v>
      </c>
      <c r="H10" s="12">
        <f>B10-E10</f>
        <v>193</v>
      </c>
      <c r="I10" s="12">
        <f>C10-F10</f>
        <v>47</v>
      </c>
      <c r="J10" s="12">
        <f>D10-G10</f>
        <v>146</v>
      </c>
    </row>
    <row r="11" spans="1:10" ht="12.75">
      <c r="A11" s="27" t="s">
        <v>31</v>
      </c>
      <c r="B11" s="12">
        <f>272+363+405</f>
        <v>1040</v>
      </c>
      <c r="C11" s="12">
        <f>135+178+174</f>
        <v>487</v>
      </c>
      <c r="D11" s="47">
        <f aca="true" t="shared" si="0" ref="D11:D38">B11-C11</f>
        <v>553</v>
      </c>
      <c r="E11" s="12">
        <f>243+332+313</f>
        <v>888</v>
      </c>
      <c r="F11" s="12">
        <f>125+183+166</f>
        <v>474</v>
      </c>
      <c r="G11" s="47">
        <f aca="true" t="shared" si="1" ref="G11:G38">E11-F11</f>
        <v>414</v>
      </c>
      <c r="H11" s="12">
        <f aca="true" t="shared" si="2" ref="H11:H38">B11-E11</f>
        <v>152</v>
      </c>
      <c r="I11" s="12">
        <f aca="true" t="shared" si="3" ref="I11:I38">C11-F11</f>
        <v>13</v>
      </c>
      <c r="J11" s="3">
        <f aca="true" t="shared" si="4" ref="J11:J38">D11-G11</f>
        <v>139</v>
      </c>
    </row>
    <row r="12" spans="1:10" ht="12.75">
      <c r="A12" s="27" t="s">
        <v>32</v>
      </c>
      <c r="B12" s="12">
        <f>192+220+287</f>
        <v>699</v>
      </c>
      <c r="C12" s="12">
        <f>94+101+142</f>
        <v>337</v>
      </c>
      <c r="D12" s="47">
        <f t="shared" si="0"/>
        <v>362</v>
      </c>
      <c r="E12" s="12">
        <f>310+347+386</f>
        <v>1043</v>
      </c>
      <c r="F12" s="12">
        <f>146+183+190</f>
        <v>519</v>
      </c>
      <c r="G12" s="47">
        <f t="shared" si="1"/>
        <v>524</v>
      </c>
      <c r="H12" s="12">
        <f t="shared" si="2"/>
        <v>-344</v>
      </c>
      <c r="I12" s="12">
        <f t="shared" si="3"/>
        <v>-182</v>
      </c>
      <c r="J12" s="12">
        <f t="shared" si="4"/>
        <v>-162</v>
      </c>
    </row>
    <row r="13" spans="1:10" ht="12.75">
      <c r="A13" s="27" t="s">
        <v>33</v>
      </c>
      <c r="B13" s="12">
        <f>89+116+118</f>
        <v>323</v>
      </c>
      <c r="C13" s="12">
        <f>49+64+61</f>
        <v>174</v>
      </c>
      <c r="D13" s="47">
        <f t="shared" si="0"/>
        <v>149</v>
      </c>
      <c r="E13" s="12">
        <f>58+87+72</f>
        <v>217</v>
      </c>
      <c r="F13" s="12">
        <f>34+42+32</f>
        <v>108</v>
      </c>
      <c r="G13" s="47">
        <f t="shared" si="1"/>
        <v>109</v>
      </c>
      <c r="H13" s="12">
        <f t="shared" si="2"/>
        <v>106</v>
      </c>
      <c r="I13" s="12">
        <f t="shared" si="3"/>
        <v>66</v>
      </c>
      <c r="J13" s="12">
        <f t="shared" si="4"/>
        <v>40</v>
      </c>
    </row>
    <row r="14" spans="1:10" ht="12.75">
      <c r="A14" s="27" t="s">
        <v>34</v>
      </c>
      <c r="B14" s="12">
        <f>134+151+176</f>
        <v>461</v>
      </c>
      <c r="C14" s="12">
        <f>61+75+78</f>
        <v>214</v>
      </c>
      <c r="D14" s="47">
        <f t="shared" si="0"/>
        <v>247</v>
      </c>
      <c r="E14" s="12">
        <f>75+126+101</f>
        <v>302</v>
      </c>
      <c r="F14" s="12">
        <f>41+61+53</f>
        <v>155</v>
      </c>
      <c r="G14" s="47">
        <f t="shared" si="1"/>
        <v>147</v>
      </c>
      <c r="H14" s="12">
        <f t="shared" si="2"/>
        <v>159</v>
      </c>
      <c r="I14" s="12">
        <f t="shared" si="3"/>
        <v>59</v>
      </c>
      <c r="J14" s="12">
        <f t="shared" si="4"/>
        <v>100</v>
      </c>
    </row>
    <row r="15" spans="1:10" ht="12.75">
      <c r="A15" s="27" t="s">
        <v>36</v>
      </c>
      <c r="B15" s="12">
        <f>246+231+307</f>
        <v>784</v>
      </c>
      <c r="C15" s="12">
        <f>120+112+143</f>
        <v>375</v>
      </c>
      <c r="D15" s="47">
        <f t="shared" si="0"/>
        <v>409</v>
      </c>
      <c r="E15" s="12">
        <f>154+189+188</f>
        <v>531</v>
      </c>
      <c r="F15" s="12">
        <f>68+92+107</f>
        <v>267</v>
      </c>
      <c r="G15" s="47">
        <f t="shared" si="1"/>
        <v>264</v>
      </c>
      <c r="H15" s="12">
        <f t="shared" si="2"/>
        <v>253</v>
      </c>
      <c r="I15" s="12">
        <f t="shared" si="3"/>
        <v>108</v>
      </c>
      <c r="J15" s="12">
        <f t="shared" si="4"/>
        <v>145</v>
      </c>
    </row>
    <row r="16" spans="1:10" ht="12.75">
      <c r="A16" s="27" t="s">
        <v>37</v>
      </c>
      <c r="B16" s="12">
        <f>323+340+450</f>
        <v>1113</v>
      </c>
      <c r="C16" s="12">
        <f>163+184+224</f>
        <v>571</v>
      </c>
      <c r="D16" s="47">
        <f t="shared" si="0"/>
        <v>542</v>
      </c>
      <c r="E16" s="12">
        <f>231+247+229</f>
        <v>707</v>
      </c>
      <c r="F16" s="12">
        <f>120+124+108</f>
        <v>352</v>
      </c>
      <c r="G16" s="47">
        <f t="shared" si="1"/>
        <v>355</v>
      </c>
      <c r="H16" s="12">
        <f t="shared" si="2"/>
        <v>406</v>
      </c>
      <c r="I16" s="12">
        <f t="shared" si="3"/>
        <v>219</v>
      </c>
      <c r="J16" s="12">
        <f t="shared" si="4"/>
        <v>187</v>
      </c>
    </row>
    <row r="17" spans="1:10" ht="12.75">
      <c r="A17" s="27" t="s">
        <v>38</v>
      </c>
      <c r="B17" s="12">
        <f>1285+1189+1587</f>
        <v>4061</v>
      </c>
      <c r="C17" s="12">
        <f>610+551+776</f>
        <v>1937</v>
      </c>
      <c r="D17" s="47">
        <f t="shared" si="0"/>
        <v>2124</v>
      </c>
      <c r="E17" s="12">
        <f>1175+1128+1299</f>
        <v>3602</v>
      </c>
      <c r="F17" s="12">
        <f>567+560+622</f>
        <v>1749</v>
      </c>
      <c r="G17" s="47">
        <f t="shared" si="1"/>
        <v>1853</v>
      </c>
      <c r="H17" s="12">
        <f t="shared" si="2"/>
        <v>459</v>
      </c>
      <c r="I17" s="12">
        <f t="shared" si="3"/>
        <v>188</v>
      </c>
      <c r="J17" s="12">
        <f t="shared" si="4"/>
        <v>271</v>
      </c>
    </row>
    <row r="18" spans="1:10" ht="12.75">
      <c r="A18" s="27" t="s">
        <v>39</v>
      </c>
      <c r="B18" s="12">
        <f>587+763+917</f>
        <v>2267</v>
      </c>
      <c r="C18" s="12">
        <f>277+387+459</f>
        <v>1123</v>
      </c>
      <c r="D18" s="47">
        <f t="shared" si="0"/>
        <v>1144</v>
      </c>
      <c r="E18" s="12">
        <f>435+472+539</f>
        <v>1446</v>
      </c>
      <c r="F18" s="12">
        <f>215+261+283</f>
        <v>759</v>
      </c>
      <c r="G18" s="47">
        <f t="shared" si="1"/>
        <v>687</v>
      </c>
      <c r="H18" s="12">
        <f t="shared" si="2"/>
        <v>821</v>
      </c>
      <c r="I18" s="12">
        <f t="shared" si="3"/>
        <v>364</v>
      </c>
      <c r="J18" s="12">
        <f t="shared" si="4"/>
        <v>457</v>
      </c>
    </row>
    <row r="19" spans="1:10" ht="12.75">
      <c r="A19" s="27" t="s">
        <v>40</v>
      </c>
      <c r="B19" s="12">
        <f>86+89+98</f>
        <v>273</v>
      </c>
      <c r="C19" s="12">
        <f>40+43+50</f>
        <v>133</v>
      </c>
      <c r="D19" s="47">
        <f t="shared" si="0"/>
        <v>140</v>
      </c>
      <c r="E19" s="12">
        <f>50+76+84</f>
        <v>210</v>
      </c>
      <c r="F19" s="12">
        <f>31+40+37</f>
        <v>108</v>
      </c>
      <c r="G19" s="47">
        <f t="shared" si="1"/>
        <v>102</v>
      </c>
      <c r="H19" s="12">
        <f t="shared" si="2"/>
        <v>63</v>
      </c>
      <c r="I19" s="12">
        <f t="shared" si="3"/>
        <v>25</v>
      </c>
      <c r="J19" s="12">
        <f t="shared" si="4"/>
        <v>38</v>
      </c>
    </row>
    <row r="20" spans="1:10" ht="12.75">
      <c r="A20" s="27" t="s">
        <v>41</v>
      </c>
      <c r="B20" s="12">
        <f>18+8+19</f>
        <v>45</v>
      </c>
      <c r="C20" s="12">
        <f>9+5+7</f>
        <v>21</v>
      </c>
      <c r="D20" s="47">
        <f t="shared" si="0"/>
        <v>24</v>
      </c>
      <c r="E20" s="12">
        <f>5+9+10</f>
        <v>24</v>
      </c>
      <c r="F20" s="12">
        <f>2+6+4</f>
        <v>12</v>
      </c>
      <c r="G20" s="47">
        <f t="shared" si="1"/>
        <v>12</v>
      </c>
      <c r="H20" s="12">
        <f t="shared" si="2"/>
        <v>21</v>
      </c>
      <c r="I20" s="12">
        <f t="shared" si="3"/>
        <v>9</v>
      </c>
      <c r="J20" s="12">
        <f t="shared" si="4"/>
        <v>12</v>
      </c>
    </row>
    <row r="21" spans="1:10" ht="12.75">
      <c r="A21" s="48" t="s">
        <v>42</v>
      </c>
      <c r="B21" s="12">
        <f>90+133+152</f>
        <v>375</v>
      </c>
      <c r="C21" s="12">
        <f>41+62+65</f>
        <v>168</v>
      </c>
      <c r="D21" s="47">
        <f t="shared" si="0"/>
        <v>207</v>
      </c>
      <c r="E21" s="12">
        <f>50+100+77</f>
        <v>227</v>
      </c>
      <c r="F21" s="12">
        <f>26+51+36</f>
        <v>113</v>
      </c>
      <c r="G21" s="47">
        <f t="shared" si="1"/>
        <v>114</v>
      </c>
      <c r="H21" s="12">
        <f t="shared" si="2"/>
        <v>148</v>
      </c>
      <c r="I21" s="12">
        <f t="shared" si="3"/>
        <v>55</v>
      </c>
      <c r="J21" s="12">
        <f t="shared" si="4"/>
        <v>93</v>
      </c>
    </row>
    <row r="22" spans="1:10" ht="12.75">
      <c r="A22" s="27" t="s">
        <v>43</v>
      </c>
      <c r="B22" s="12">
        <f>83+102+109</f>
        <v>294</v>
      </c>
      <c r="C22" s="12">
        <f>44+54+55</f>
        <v>153</v>
      </c>
      <c r="D22" s="47">
        <f t="shared" si="0"/>
        <v>141</v>
      </c>
      <c r="E22" s="12">
        <f>49+68+54</f>
        <v>171</v>
      </c>
      <c r="F22" s="12">
        <f>26+37+25</f>
        <v>88</v>
      </c>
      <c r="G22" s="47">
        <f t="shared" si="1"/>
        <v>83</v>
      </c>
      <c r="H22" s="12">
        <f t="shared" si="2"/>
        <v>123</v>
      </c>
      <c r="I22" s="12">
        <f t="shared" si="3"/>
        <v>65</v>
      </c>
      <c r="J22" s="12">
        <f t="shared" si="4"/>
        <v>58</v>
      </c>
    </row>
    <row r="23" spans="1:10" ht="12.75">
      <c r="A23" s="27" t="s">
        <v>25</v>
      </c>
      <c r="B23" s="12">
        <f>1709+1577+1987</f>
        <v>5273</v>
      </c>
      <c r="C23" s="12">
        <f>822+794+972</f>
        <v>2588</v>
      </c>
      <c r="D23" s="47">
        <f t="shared" si="0"/>
        <v>2685</v>
      </c>
      <c r="E23" s="12">
        <f>1900+1964+2376</f>
        <v>6240</v>
      </c>
      <c r="F23" s="12">
        <f>933+994+1133</f>
        <v>3060</v>
      </c>
      <c r="G23" s="47">
        <f t="shared" si="1"/>
        <v>3180</v>
      </c>
      <c r="H23" s="57">
        <f t="shared" si="2"/>
        <v>-967</v>
      </c>
      <c r="I23" s="12">
        <f t="shared" si="3"/>
        <v>-472</v>
      </c>
      <c r="J23" s="12">
        <f t="shared" si="4"/>
        <v>-495</v>
      </c>
    </row>
    <row r="24" spans="1:10" ht="12.75">
      <c r="A24" s="27" t="s">
        <v>44</v>
      </c>
      <c r="B24" s="12">
        <f>42+59+64</f>
        <v>165</v>
      </c>
      <c r="C24" s="12">
        <f>13+30+39</f>
        <v>82</v>
      </c>
      <c r="D24" s="47">
        <f t="shared" si="0"/>
        <v>83</v>
      </c>
      <c r="E24" s="12">
        <f>17+43+33</f>
        <v>93</v>
      </c>
      <c r="F24" s="12">
        <f>11+26+17</f>
        <v>54</v>
      </c>
      <c r="G24" s="47">
        <f t="shared" si="1"/>
        <v>39</v>
      </c>
      <c r="H24" s="12">
        <f t="shared" si="2"/>
        <v>72</v>
      </c>
      <c r="I24" s="12">
        <f t="shared" si="3"/>
        <v>28</v>
      </c>
      <c r="J24" s="12">
        <f t="shared" si="4"/>
        <v>44</v>
      </c>
    </row>
    <row r="25" spans="1:10" ht="12.75">
      <c r="A25" s="27"/>
      <c r="B25" s="12"/>
      <c r="C25" s="12"/>
      <c r="D25" s="47"/>
      <c r="E25" s="12"/>
      <c r="F25" s="12"/>
      <c r="G25" s="47"/>
      <c r="H25" s="12"/>
      <c r="I25" s="12"/>
      <c r="J25" s="12"/>
    </row>
    <row r="26" spans="1:10" ht="12.75">
      <c r="A26" s="27" t="s">
        <v>101</v>
      </c>
      <c r="B26" s="12">
        <f>SUM(B10:B24)</f>
        <v>18153</v>
      </c>
      <c r="C26" s="12">
        <f>SUM(C10:C24)</f>
        <v>8830</v>
      </c>
      <c r="D26" s="47">
        <f t="shared" si="0"/>
        <v>9323</v>
      </c>
      <c r="E26" s="12">
        <f>SUM(E10:E24)</f>
        <v>16488</v>
      </c>
      <c r="F26" s="12">
        <f>SUM(F10:F24)</f>
        <v>8238</v>
      </c>
      <c r="G26" s="47">
        <f t="shared" si="1"/>
        <v>8250</v>
      </c>
      <c r="H26" s="12">
        <f t="shared" si="2"/>
        <v>1665</v>
      </c>
      <c r="I26" s="12">
        <f t="shared" si="3"/>
        <v>592</v>
      </c>
      <c r="J26" s="12">
        <f t="shared" si="4"/>
        <v>1073</v>
      </c>
    </row>
    <row r="27" spans="1:10" ht="12.75">
      <c r="A27" s="27"/>
      <c r="B27" s="12"/>
      <c r="C27" s="12"/>
      <c r="D27" s="47"/>
      <c r="E27" s="12"/>
      <c r="F27" s="12"/>
      <c r="G27" s="47"/>
      <c r="H27" s="12"/>
      <c r="I27" s="12"/>
      <c r="J27" s="12"/>
    </row>
    <row r="28" spans="1:10" ht="12.75">
      <c r="A28" s="27" t="s">
        <v>70</v>
      </c>
      <c r="B28" s="12">
        <f>3462+3567+2671</f>
        <v>9700</v>
      </c>
      <c r="C28" s="12">
        <f>1658+2267+2193</f>
        <v>6118</v>
      </c>
      <c r="D28" s="47">
        <f t="shared" si="0"/>
        <v>3582</v>
      </c>
      <c r="E28" s="12">
        <f>2284+2396+1949</f>
        <v>6629</v>
      </c>
      <c r="F28" s="12">
        <f>1221+1615+1592</f>
        <v>4428</v>
      </c>
      <c r="G28" s="47">
        <f t="shared" si="1"/>
        <v>2201</v>
      </c>
      <c r="H28" s="12">
        <f t="shared" si="2"/>
        <v>3071</v>
      </c>
      <c r="I28" s="12">
        <f t="shared" si="3"/>
        <v>1690</v>
      </c>
      <c r="J28" s="12">
        <f t="shared" si="4"/>
        <v>1381</v>
      </c>
    </row>
    <row r="29" spans="1:10" ht="12.75">
      <c r="A29" s="27"/>
      <c r="B29" s="12"/>
      <c r="C29" s="12"/>
      <c r="D29" s="47"/>
      <c r="E29" s="12"/>
      <c r="F29" s="12"/>
      <c r="G29" s="47"/>
      <c r="H29" s="12"/>
      <c r="I29" s="12"/>
      <c r="J29" s="12"/>
    </row>
    <row r="30" spans="1:10" ht="12.75">
      <c r="A30" s="49" t="s">
        <v>71</v>
      </c>
      <c r="B30" s="30">
        <f aca="true" t="shared" si="5" ref="B30:G30">B26+B28</f>
        <v>27853</v>
      </c>
      <c r="C30" s="30">
        <f t="shared" si="5"/>
        <v>14948</v>
      </c>
      <c r="D30" s="50">
        <f t="shared" si="5"/>
        <v>12905</v>
      </c>
      <c r="E30" s="30">
        <f t="shared" si="5"/>
        <v>23117</v>
      </c>
      <c r="F30" s="30">
        <f t="shared" si="5"/>
        <v>12666</v>
      </c>
      <c r="G30" s="50">
        <f t="shared" si="5"/>
        <v>10451</v>
      </c>
      <c r="H30" s="56">
        <f t="shared" si="2"/>
        <v>4736</v>
      </c>
      <c r="I30" s="56">
        <f t="shared" si="3"/>
        <v>2282</v>
      </c>
      <c r="J30" s="56">
        <f t="shared" si="4"/>
        <v>2454</v>
      </c>
    </row>
    <row r="31" spans="1:10" ht="12.75">
      <c r="A31" s="49"/>
      <c r="B31" s="30"/>
      <c r="C31" s="30"/>
      <c r="D31" s="50"/>
      <c r="E31" s="30"/>
      <c r="F31" s="30"/>
      <c r="G31" s="50"/>
      <c r="H31" s="56"/>
      <c r="I31" s="56"/>
      <c r="J31" s="56"/>
    </row>
    <row r="32" spans="1:10" ht="12.75">
      <c r="A32" s="48" t="s">
        <v>72</v>
      </c>
      <c r="B32" s="16"/>
      <c r="C32" s="16"/>
      <c r="D32" s="47">
        <f t="shared" si="0"/>
        <v>0</v>
      </c>
      <c r="E32" s="16"/>
      <c r="F32" s="16"/>
      <c r="G32" s="47">
        <f t="shared" si="1"/>
        <v>0</v>
      </c>
      <c r="H32" s="12">
        <f t="shared" si="2"/>
        <v>0</v>
      </c>
      <c r="I32" s="12">
        <f t="shared" si="3"/>
        <v>0</v>
      </c>
      <c r="J32" s="12">
        <f t="shared" si="4"/>
        <v>0</v>
      </c>
    </row>
    <row r="33" spans="1:10" ht="12.75">
      <c r="A33" s="48" t="s">
        <v>73</v>
      </c>
      <c r="B33" s="16">
        <f>141+190+177</f>
        <v>508</v>
      </c>
      <c r="C33" s="16">
        <f>72+101+87</f>
        <v>260</v>
      </c>
      <c r="D33" s="47">
        <f t="shared" si="0"/>
        <v>248</v>
      </c>
      <c r="E33" s="16">
        <f>179+221+285</f>
        <v>685</v>
      </c>
      <c r="F33" s="16">
        <f>85+108+148</f>
        <v>341</v>
      </c>
      <c r="G33" s="47">
        <f t="shared" si="1"/>
        <v>344</v>
      </c>
      <c r="H33" s="12">
        <f t="shared" si="2"/>
        <v>-177</v>
      </c>
      <c r="I33" s="12">
        <f t="shared" si="3"/>
        <v>-81</v>
      </c>
      <c r="J33" s="12">
        <f t="shared" si="4"/>
        <v>-96</v>
      </c>
    </row>
    <row r="34" spans="1:10" ht="12.75">
      <c r="A34" s="48" t="s">
        <v>18</v>
      </c>
      <c r="B34" s="16">
        <f>296+395+352</f>
        <v>1043</v>
      </c>
      <c r="C34" s="16">
        <f>143+184+166</f>
        <v>493</v>
      </c>
      <c r="D34" s="47">
        <f t="shared" si="0"/>
        <v>550</v>
      </c>
      <c r="E34" s="16">
        <f>481+544+566</f>
        <v>1591</v>
      </c>
      <c r="F34" s="16">
        <f>233+256+260</f>
        <v>749</v>
      </c>
      <c r="G34" s="47">
        <f t="shared" si="1"/>
        <v>842</v>
      </c>
      <c r="H34" s="12">
        <f t="shared" si="2"/>
        <v>-548</v>
      </c>
      <c r="I34" s="12">
        <f t="shared" si="3"/>
        <v>-256</v>
      </c>
      <c r="J34" s="12">
        <f t="shared" si="4"/>
        <v>-292</v>
      </c>
    </row>
    <row r="35" spans="1:10" ht="12.75">
      <c r="A35" s="48" t="s">
        <v>22</v>
      </c>
      <c r="B35" s="16">
        <f>219+294+235</f>
        <v>748</v>
      </c>
      <c r="C35" s="16">
        <f>112+151+108</f>
        <v>371</v>
      </c>
      <c r="D35" s="47">
        <f t="shared" si="0"/>
        <v>377</v>
      </c>
      <c r="E35" s="16">
        <f>359+309+392</f>
        <v>1060</v>
      </c>
      <c r="F35" s="16">
        <f>181+154+185</f>
        <v>520</v>
      </c>
      <c r="G35" s="47">
        <f t="shared" si="1"/>
        <v>540</v>
      </c>
      <c r="H35" s="12">
        <f t="shared" si="2"/>
        <v>-312</v>
      </c>
      <c r="I35" s="12">
        <f t="shared" si="3"/>
        <v>-149</v>
      </c>
      <c r="J35" s="12">
        <f t="shared" si="4"/>
        <v>-163</v>
      </c>
    </row>
    <row r="36" spans="1:10" ht="12.75">
      <c r="A36" s="48" t="s">
        <v>24</v>
      </c>
      <c r="B36" s="16">
        <f>276+354+336</f>
        <v>966</v>
      </c>
      <c r="C36" s="16">
        <f>138+171+162</f>
        <v>471</v>
      </c>
      <c r="D36" s="47">
        <f t="shared" si="0"/>
        <v>495</v>
      </c>
      <c r="E36" s="16">
        <f>432+391+568</f>
        <v>1391</v>
      </c>
      <c r="F36" s="16">
        <f>209+218+275</f>
        <v>702</v>
      </c>
      <c r="G36" s="47">
        <f t="shared" si="1"/>
        <v>689</v>
      </c>
      <c r="H36" s="12">
        <f t="shared" si="2"/>
        <v>-425</v>
      </c>
      <c r="I36" s="12">
        <f t="shared" si="3"/>
        <v>-231</v>
      </c>
      <c r="J36" s="12">
        <f t="shared" si="4"/>
        <v>-194</v>
      </c>
    </row>
    <row r="37" spans="1:10" ht="12.75">
      <c r="A37" s="48" t="s">
        <v>74</v>
      </c>
      <c r="B37" s="16">
        <f>227+382+378</f>
        <v>987</v>
      </c>
      <c r="C37" s="16">
        <f>108+198+175</f>
        <v>481</v>
      </c>
      <c r="D37" s="47">
        <f t="shared" si="0"/>
        <v>506</v>
      </c>
      <c r="E37" s="16">
        <f>429+396+486</f>
        <v>1311</v>
      </c>
      <c r="F37" s="16">
        <f>219+201+240</f>
        <v>660</v>
      </c>
      <c r="G37" s="47">
        <f t="shared" si="1"/>
        <v>651</v>
      </c>
      <c r="H37" s="12">
        <f t="shared" si="2"/>
        <v>-324</v>
      </c>
      <c r="I37" s="12">
        <f t="shared" si="3"/>
        <v>-179</v>
      </c>
      <c r="J37" s="12">
        <f t="shared" si="4"/>
        <v>-145</v>
      </c>
    </row>
    <row r="38" spans="1:10" ht="12.75">
      <c r="A38" s="48" t="s">
        <v>46</v>
      </c>
      <c r="B38" s="16">
        <f>112+141+110</f>
        <v>363</v>
      </c>
      <c r="C38" s="16">
        <f>50+70+51</f>
        <v>171</v>
      </c>
      <c r="D38" s="47">
        <f t="shared" si="0"/>
        <v>192</v>
      </c>
      <c r="E38" s="16">
        <f>127+119+122</f>
        <v>368</v>
      </c>
      <c r="F38" s="16">
        <f>57+55+54</f>
        <v>166</v>
      </c>
      <c r="G38" s="47">
        <f t="shared" si="1"/>
        <v>202</v>
      </c>
      <c r="H38" s="12">
        <f t="shared" si="2"/>
        <v>-5</v>
      </c>
      <c r="I38" s="12">
        <f t="shared" si="3"/>
        <v>5</v>
      </c>
      <c r="J38" s="12">
        <f t="shared" si="4"/>
        <v>-10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A2" sqref="A2"/>
    </sheetView>
  </sheetViews>
  <sheetFormatPr defaultColWidth="11.421875" defaultRowHeight="12.75"/>
  <cols>
    <col min="1" max="1" width="21.8515625" style="3" customWidth="1"/>
    <col min="2" max="2" width="10.421875" style="3" customWidth="1"/>
    <col min="3" max="3" width="9.8515625" style="3" customWidth="1"/>
    <col min="4" max="4" width="8.8515625" style="3" customWidth="1"/>
    <col min="5" max="6" width="9.421875" style="3" customWidth="1"/>
    <col min="7" max="7" width="7.57421875" style="3" customWidth="1"/>
    <col min="8" max="8" width="9.8515625" style="3" customWidth="1"/>
    <col min="9" max="9" width="9.00390625" style="3" customWidth="1"/>
    <col min="10" max="16384" width="11.421875" style="3" customWidth="1"/>
  </cols>
  <sheetData>
    <row r="1" spans="1:8" ht="12.75">
      <c r="A1" s="2" t="s">
        <v>109</v>
      </c>
      <c r="B1" s="35"/>
      <c r="C1" s="35"/>
      <c r="D1" s="35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10" ht="12.75">
      <c r="A3" s="51" t="s">
        <v>114</v>
      </c>
      <c r="B3" s="37"/>
      <c r="C3" s="37"/>
      <c r="D3" s="37"/>
      <c r="E3" s="37"/>
      <c r="F3" s="37"/>
      <c r="G3" s="37"/>
      <c r="H3" s="37"/>
      <c r="I3" s="43"/>
      <c r="J3" s="43"/>
    </row>
    <row r="4" spans="1:10" ht="12.75">
      <c r="A4" s="44" t="s">
        <v>26</v>
      </c>
      <c r="B4" s="37"/>
      <c r="C4" s="37"/>
      <c r="D4" s="37"/>
      <c r="E4" s="37"/>
      <c r="F4" s="37"/>
      <c r="G4" s="37"/>
      <c r="H4" s="37"/>
      <c r="I4" s="43"/>
      <c r="J4" s="43"/>
    </row>
    <row r="5" spans="1:10" ht="12.75">
      <c r="A5" s="36" t="s">
        <v>25</v>
      </c>
      <c r="B5" s="37"/>
      <c r="C5" s="37"/>
      <c r="D5" s="37"/>
      <c r="E5" s="37"/>
      <c r="F5" s="37"/>
      <c r="G5" s="37"/>
      <c r="H5" s="37"/>
      <c r="I5" s="43"/>
      <c r="J5" s="43"/>
    </row>
    <row r="6" spans="1:8" ht="12.75">
      <c r="A6" s="38"/>
      <c r="B6" s="37"/>
      <c r="F6" s="37"/>
      <c r="G6" s="37"/>
      <c r="H6" s="37"/>
    </row>
    <row r="7" spans="1:10" ht="25.5">
      <c r="A7" s="39" t="s">
        <v>27</v>
      </c>
      <c r="B7" s="40" t="s">
        <v>6</v>
      </c>
      <c r="C7" s="40"/>
      <c r="D7" s="40"/>
      <c r="E7" s="40" t="s">
        <v>7</v>
      </c>
      <c r="F7" s="40"/>
      <c r="G7" s="40"/>
      <c r="H7" s="45" t="s">
        <v>75</v>
      </c>
      <c r="I7" s="46"/>
      <c r="J7" s="46"/>
    </row>
    <row r="8" spans="1:10" ht="12.75">
      <c r="A8" s="41" t="s">
        <v>28</v>
      </c>
      <c r="B8" s="42" t="s">
        <v>2</v>
      </c>
      <c r="C8" s="42" t="s">
        <v>29</v>
      </c>
      <c r="D8" s="42" t="s">
        <v>4</v>
      </c>
      <c r="E8" s="42" t="s">
        <v>2</v>
      </c>
      <c r="F8" s="42" t="s">
        <v>29</v>
      </c>
      <c r="G8" s="42" t="s">
        <v>4</v>
      </c>
      <c r="H8" s="42" t="s">
        <v>2</v>
      </c>
      <c r="I8" s="42" t="s">
        <v>29</v>
      </c>
      <c r="J8" s="42" t="s">
        <v>4</v>
      </c>
    </row>
    <row r="9" spans="1:10" ht="12.75">
      <c r="A9" s="67"/>
      <c r="B9" s="68"/>
      <c r="C9" s="68"/>
      <c r="D9" s="69"/>
      <c r="E9" s="68"/>
      <c r="F9" s="68"/>
      <c r="G9" s="69"/>
      <c r="H9" s="68"/>
      <c r="I9" s="68"/>
      <c r="J9" s="68"/>
    </row>
    <row r="10" spans="1:10" ht="12.75">
      <c r="A10" s="27" t="s">
        <v>30</v>
      </c>
      <c r="B10" s="12">
        <f>228+285+395</f>
        <v>908</v>
      </c>
      <c r="C10" s="12">
        <f>109+130+193</f>
        <v>432</v>
      </c>
      <c r="D10" s="47">
        <f>B10-C10</f>
        <v>476</v>
      </c>
      <c r="E10" s="12">
        <f>275+335+303</f>
        <v>913</v>
      </c>
      <c r="F10" s="12">
        <f>154+168+148</f>
        <v>470</v>
      </c>
      <c r="G10" s="47">
        <f>E10-F10</f>
        <v>443</v>
      </c>
      <c r="H10" s="28">
        <f>B10-E10</f>
        <v>-5</v>
      </c>
      <c r="I10" s="28">
        <f>C10-F10</f>
        <v>-38</v>
      </c>
      <c r="J10" s="28">
        <f>D10-G10</f>
        <v>33</v>
      </c>
    </row>
    <row r="11" spans="1:10" ht="12.75">
      <c r="A11" s="27" t="s">
        <v>31</v>
      </c>
      <c r="B11" s="12">
        <f>241+296+372</f>
        <v>909</v>
      </c>
      <c r="C11" s="12">
        <f>121+159+194</f>
        <v>474</v>
      </c>
      <c r="D11" s="47">
        <f aca="true" t="shared" si="0" ref="D11:D28">B11-C11</f>
        <v>435</v>
      </c>
      <c r="E11" s="12">
        <f>209+340+352</f>
        <v>901</v>
      </c>
      <c r="F11" s="12">
        <f>99+165+168</f>
        <v>432</v>
      </c>
      <c r="G11" s="47">
        <f aca="true" t="shared" si="1" ref="G11:G28">E11-F11</f>
        <v>469</v>
      </c>
      <c r="H11" s="28">
        <f aca="true" t="shared" si="2" ref="H11:H24">B11-E11</f>
        <v>8</v>
      </c>
      <c r="I11" s="28">
        <f aca="true" t="shared" si="3" ref="I11:I26">C11-F11</f>
        <v>42</v>
      </c>
      <c r="J11" s="28">
        <f aca="true" t="shared" si="4" ref="J11:J26">D11-G11</f>
        <v>-34</v>
      </c>
    </row>
    <row r="12" spans="1:10" ht="12.75">
      <c r="A12" s="27" t="s">
        <v>32</v>
      </c>
      <c r="B12" s="12">
        <f>239+214+230</f>
        <v>683</v>
      </c>
      <c r="C12" s="12">
        <f>114+96+121</f>
        <v>331</v>
      </c>
      <c r="D12" s="47">
        <f t="shared" si="0"/>
        <v>352</v>
      </c>
      <c r="E12" s="12">
        <f>255+298+310</f>
        <v>863</v>
      </c>
      <c r="F12" s="12">
        <f>125+137+148</f>
        <v>410</v>
      </c>
      <c r="G12" s="47">
        <f t="shared" si="1"/>
        <v>453</v>
      </c>
      <c r="H12" s="28">
        <f t="shared" si="2"/>
        <v>-180</v>
      </c>
      <c r="I12" s="28">
        <f t="shared" si="3"/>
        <v>-79</v>
      </c>
      <c r="J12" s="28">
        <f t="shared" si="4"/>
        <v>-101</v>
      </c>
    </row>
    <row r="13" spans="1:10" ht="12.75">
      <c r="A13" s="27" t="s">
        <v>33</v>
      </c>
      <c r="B13" s="12">
        <f>167+120+170</f>
        <v>457</v>
      </c>
      <c r="C13" s="12">
        <f>83+62+94</f>
        <v>239</v>
      </c>
      <c r="D13" s="47">
        <f t="shared" si="0"/>
        <v>218</v>
      </c>
      <c r="E13" s="12">
        <f>121+125+102</f>
        <v>348</v>
      </c>
      <c r="F13" s="12">
        <f>57+61+55</f>
        <v>173</v>
      </c>
      <c r="G13" s="47">
        <f t="shared" si="1"/>
        <v>175</v>
      </c>
      <c r="H13" s="28">
        <f t="shared" si="2"/>
        <v>109</v>
      </c>
      <c r="I13" s="28">
        <f t="shared" si="3"/>
        <v>66</v>
      </c>
      <c r="J13" s="28">
        <f t="shared" si="4"/>
        <v>43</v>
      </c>
    </row>
    <row r="14" spans="1:10" ht="12.75">
      <c r="A14" s="27" t="s">
        <v>34</v>
      </c>
      <c r="B14" s="12">
        <f>80+77+109</f>
        <v>266</v>
      </c>
      <c r="C14" s="12">
        <f>44+44+57</f>
        <v>145</v>
      </c>
      <c r="D14" s="47">
        <f t="shared" si="0"/>
        <v>121</v>
      </c>
      <c r="E14" s="12">
        <f>49+111+125</f>
        <v>285</v>
      </c>
      <c r="F14" s="12">
        <f>21+64+70</f>
        <v>155</v>
      </c>
      <c r="G14" s="47">
        <f t="shared" si="1"/>
        <v>130</v>
      </c>
      <c r="H14" s="28">
        <f t="shared" si="2"/>
        <v>-19</v>
      </c>
      <c r="I14" s="28">
        <f t="shared" si="3"/>
        <v>-10</v>
      </c>
      <c r="J14" s="28">
        <f t="shared" si="4"/>
        <v>-9</v>
      </c>
    </row>
    <row r="15" spans="1:10" ht="12.75">
      <c r="A15" s="27" t="s">
        <v>35</v>
      </c>
      <c r="B15" s="12">
        <f>1900+1964+2376</f>
        <v>6240</v>
      </c>
      <c r="C15" s="12">
        <f>933+994+1133</f>
        <v>3060</v>
      </c>
      <c r="D15" s="47">
        <f t="shared" si="0"/>
        <v>3180</v>
      </c>
      <c r="E15" s="12">
        <f>1709+1577+1987</f>
        <v>5273</v>
      </c>
      <c r="F15" s="12">
        <f>822+794+972</f>
        <v>2588</v>
      </c>
      <c r="G15" s="47">
        <f t="shared" si="1"/>
        <v>2685</v>
      </c>
      <c r="H15" s="28">
        <f t="shared" si="2"/>
        <v>967</v>
      </c>
      <c r="I15" s="28">
        <f t="shared" si="3"/>
        <v>472</v>
      </c>
      <c r="J15" s="28">
        <f t="shared" si="4"/>
        <v>495</v>
      </c>
    </row>
    <row r="16" spans="1:10" ht="12.75">
      <c r="A16" s="27" t="s">
        <v>36</v>
      </c>
      <c r="B16" s="12">
        <f>264+221+338</f>
        <v>823</v>
      </c>
      <c r="C16" s="12">
        <f>119+112+160</f>
        <v>391</v>
      </c>
      <c r="D16" s="47">
        <f t="shared" si="0"/>
        <v>432</v>
      </c>
      <c r="E16" s="12">
        <f>198+206+236</f>
        <v>640</v>
      </c>
      <c r="F16" s="12">
        <f>98+105+115</f>
        <v>318</v>
      </c>
      <c r="G16" s="47">
        <f t="shared" si="1"/>
        <v>322</v>
      </c>
      <c r="H16" s="28">
        <f t="shared" si="2"/>
        <v>183</v>
      </c>
      <c r="I16" s="28">
        <f t="shared" si="3"/>
        <v>73</v>
      </c>
      <c r="J16" s="28">
        <f t="shared" si="4"/>
        <v>110</v>
      </c>
    </row>
    <row r="17" spans="1:10" ht="13.5" customHeight="1">
      <c r="A17" s="27" t="s">
        <v>37</v>
      </c>
      <c r="B17" s="12">
        <f>438+432+523</f>
        <v>1393</v>
      </c>
      <c r="C17" s="12">
        <f>231+215+240</f>
        <v>686</v>
      </c>
      <c r="D17" s="47">
        <f t="shared" si="0"/>
        <v>707</v>
      </c>
      <c r="E17" s="12">
        <f>350+466+452</f>
        <v>1268</v>
      </c>
      <c r="F17" s="12">
        <f>181+233+225</f>
        <v>639</v>
      </c>
      <c r="G17" s="47">
        <f t="shared" si="1"/>
        <v>629</v>
      </c>
      <c r="H17" s="28">
        <f t="shared" si="2"/>
        <v>125</v>
      </c>
      <c r="I17" s="28">
        <f t="shared" si="3"/>
        <v>47</v>
      </c>
      <c r="J17" s="28">
        <f t="shared" si="4"/>
        <v>78</v>
      </c>
    </row>
    <row r="18" spans="1:10" ht="12.75">
      <c r="A18" s="27" t="s">
        <v>38</v>
      </c>
      <c r="B18" s="12">
        <f>940+871+1082</f>
        <v>2893</v>
      </c>
      <c r="C18" s="12">
        <f>469+410+532</f>
        <v>1411</v>
      </c>
      <c r="D18" s="47">
        <f t="shared" si="0"/>
        <v>1482</v>
      </c>
      <c r="E18" s="12">
        <f>831+862+1050</f>
        <v>2743</v>
      </c>
      <c r="F18" s="12">
        <f>390+415+480</f>
        <v>1285</v>
      </c>
      <c r="G18" s="47">
        <f t="shared" si="1"/>
        <v>1458</v>
      </c>
      <c r="H18" s="28">
        <f t="shared" si="2"/>
        <v>150</v>
      </c>
      <c r="I18" s="28">
        <f t="shared" si="3"/>
        <v>126</v>
      </c>
      <c r="J18" s="28">
        <f t="shared" si="4"/>
        <v>24</v>
      </c>
    </row>
    <row r="19" spans="1:10" ht="12.75">
      <c r="A19" s="27" t="s">
        <v>39</v>
      </c>
      <c r="B19" s="12">
        <f>628+668+780</f>
        <v>2076</v>
      </c>
      <c r="C19" s="12">
        <f>311+319+377</f>
        <v>1007</v>
      </c>
      <c r="D19" s="47">
        <f t="shared" si="0"/>
        <v>1069</v>
      </c>
      <c r="E19" s="12">
        <f>553+666+652</f>
        <v>1871</v>
      </c>
      <c r="F19" s="12">
        <f>274+336+316</f>
        <v>926</v>
      </c>
      <c r="G19" s="47">
        <f t="shared" si="1"/>
        <v>945</v>
      </c>
      <c r="H19" s="28">
        <f t="shared" si="2"/>
        <v>205</v>
      </c>
      <c r="I19" s="28">
        <f t="shared" si="3"/>
        <v>81</v>
      </c>
      <c r="J19" s="28">
        <f t="shared" si="4"/>
        <v>124</v>
      </c>
    </row>
    <row r="20" spans="1:10" ht="12.75">
      <c r="A20" s="27" t="s">
        <v>40</v>
      </c>
      <c r="B20" s="12">
        <f>116+94+168</f>
        <v>378</v>
      </c>
      <c r="C20" s="12">
        <f>50+54+83</f>
        <v>187</v>
      </c>
      <c r="D20" s="47">
        <f t="shared" si="0"/>
        <v>191</v>
      </c>
      <c r="E20" s="12">
        <f>95+81+99</f>
        <v>275</v>
      </c>
      <c r="F20" s="12">
        <f>47+44+46</f>
        <v>137</v>
      </c>
      <c r="G20" s="47">
        <f t="shared" si="1"/>
        <v>138</v>
      </c>
      <c r="H20" s="28">
        <f t="shared" si="2"/>
        <v>103</v>
      </c>
      <c r="I20" s="28">
        <f t="shared" si="3"/>
        <v>50</v>
      </c>
      <c r="J20" s="28">
        <f t="shared" si="4"/>
        <v>53</v>
      </c>
    </row>
    <row r="21" spans="1:10" ht="12.75">
      <c r="A21" s="27" t="s">
        <v>41</v>
      </c>
      <c r="B21" s="12">
        <f>10+36+24</f>
        <v>70</v>
      </c>
      <c r="C21" s="12">
        <f>6+14+9</f>
        <v>29</v>
      </c>
      <c r="D21" s="47">
        <f t="shared" si="0"/>
        <v>41</v>
      </c>
      <c r="E21" s="12">
        <f>25+10+13</f>
        <v>48</v>
      </c>
      <c r="F21" s="12">
        <f>10+4+7</f>
        <v>21</v>
      </c>
      <c r="G21" s="47">
        <f t="shared" si="1"/>
        <v>27</v>
      </c>
      <c r="H21" s="28">
        <f t="shared" si="2"/>
        <v>22</v>
      </c>
      <c r="I21" s="28">
        <f t="shared" si="3"/>
        <v>8</v>
      </c>
      <c r="J21" s="28">
        <f t="shared" si="4"/>
        <v>14</v>
      </c>
    </row>
    <row r="22" spans="1:10" ht="12.75">
      <c r="A22" s="27" t="s">
        <v>42</v>
      </c>
      <c r="B22" s="12">
        <f>118+138+154</f>
        <v>410</v>
      </c>
      <c r="C22" s="12">
        <f>55+66+81</f>
        <v>202</v>
      </c>
      <c r="D22" s="47">
        <f t="shared" si="0"/>
        <v>208</v>
      </c>
      <c r="E22" s="12">
        <f>80+121+105</f>
        <v>306</v>
      </c>
      <c r="F22" s="12">
        <f>37+59+49</f>
        <v>145</v>
      </c>
      <c r="G22" s="47">
        <f t="shared" si="1"/>
        <v>161</v>
      </c>
      <c r="H22" s="28">
        <f t="shared" si="2"/>
        <v>104</v>
      </c>
      <c r="I22" s="28">
        <f t="shared" si="3"/>
        <v>57</v>
      </c>
      <c r="J22" s="28">
        <f t="shared" si="4"/>
        <v>47</v>
      </c>
    </row>
    <row r="23" spans="1:10" ht="12.75">
      <c r="A23" s="27" t="s">
        <v>43</v>
      </c>
      <c r="B23" s="12">
        <f>87+101+111</f>
        <v>299</v>
      </c>
      <c r="C23" s="12">
        <f>45+49+49</f>
        <v>143</v>
      </c>
      <c r="D23" s="47">
        <f t="shared" si="0"/>
        <v>156</v>
      </c>
      <c r="E23" s="12">
        <f>59+108+96</f>
        <v>263</v>
      </c>
      <c r="F23" s="12">
        <f>29+50+47</f>
        <v>126</v>
      </c>
      <c r="G23" s="47">
        <f t="shared" si="1"/>
        <v>137</v>
      </c>
      <c r="H23" s="28">
        <f t="shared" si="2"/>
        <v>36</v>
      </c>
      <c r="I23" s="28">
        <f t="shared" si="3"/>
        <v>17</v>
      </c>
      <c r="J23" s="28">
        <f t="shared" si="4"/>
        <v>19</v>
      </c>
    </row>
    <row r="24" spans="1:10" ht="12.75">
      <c r="A24" s="27" t="s">
        <v>44</v>
      </c>
      <c r="B24" s="12">
        <f>58+57+87</f>
        <v>202</v>
      </c>
      <c r="C24" s="12">
        <f>25+23+45</f>
        <v>93</v>
      </c>
      <c r="D24" s="47">
        <f t="shared" si="0"/>
        <v>109</v>
      </c>
      <c r="E24" s="12">
        <f>53+72+45</f>
        <v>170</v>
      </c>
      <c r="F24" s="12">
        <f>24+42+20</f>
        <v>86</v>
      </c>
      <c r="G24" s="47">
        <f t="shared" si="1"/>
        <v>84</v>
      </c>
      <c r="H24" s="28">
        <f t="shared" si="2"/>
        <v>32</v>
      </c>
      <c r="I24" s="28">
        <f t="shared" si="3"/>
        <v>7</v>
      </c>
      <c r="J24" s="28">
        <f t="shared" si="4"/>
        <v>25</v>
      </c>
    </row>
    <row r="25" spans="1:10" ht="12.75">
      <c r="A25" s="27"/>
      <c r="B25" s="12"/>
      <c r="C25" s="12"/>
      <c r="D25" s="47"/>
      <c r="E25" s="12"/>
      <c r="F25" s="12"/>
      <c r="G25" s="47"/>
      <c r="H25" s="28"/>
      <c r="I25" s="28"/>
      <c r="J25" s="28"/>
    </row>
    <row r="26" spans="1:10" ht="12.75">
      <c r="A26" s="27" t="s">
        <v>101</v>
      </c>
      <c r="B26" s="12">
        <f>SUM(B10:B24)</f>
        <v>18007</v>
      </c>
      <c r="C26" s="12">
        <f>SUM(C10:C24)</f>
        <v>8830</v>
      </c>
      <c r="D26" s="47">
        <f aca="true" t="shared" si="5" ref="D26:G26">SUM(D10:D24)</f>
        <v>9177</v>
      </c>
      <c r="E26" s="12">
        <f>SUM(E10:E24)</f>
        <v>16167</v>
      </c>
      <c r="F26" s="12">
        <f>SUM(F10:F24)</f>
        <v>7911</v>
      </c>
      <c r="G26" s="47">
        <f t="shared" si="5"/>
        <v>8256</v>
      </c>
      <c r="H26" s="28">
        <f>B26-E26</f>
        <v>1840</v>
      </c>
      <c r="I26" s="28">
        <f t="shared" si="3"/>
        <v>919</v>
      </c>
      <c r="J26" s="28">
        <f t="shared" si="4"/>
        <v>921</v>
      </c>
    </row>
    <row r="27" spans="1:10" ht="12.75">
      <c r="A27" s="27"/>
      <c r="B27" s="12"/>
      <c r="C27" s="12"/>
      <c r="D27" s="47"/>
      <c r="E27" s="12"/>
      <c r="F27" s="12"/>
      <c r="G27" s="47"/>
      <c r="H27" s="28"/>
      <c r="I27" s="28"/>
      <c r="J27" s="28"/>
    </row>
    <row r="28" spans="1:10" ht="12.75">
      <c r="A28" s="27" t="s">
        <v>70</v>
      </c>
      <c r="B28" s="12">
        <f>1763+2092+1693</f>
        <v>5548</v>
      </c>
      <c r="C28" s="12">
        <f>1028+1223+969</f>
        <v>3220</v>
      </c>
      <c r="D28" s="47">
        <f t="shared" si="0"/>
        <v>2328</v>
      </c>
      <c r="E28" s="12">
        <f>1161+1412+993</f>
        <v>3566</v>
      </c>
      <c r="F28" s="12">
        <f>657+810+568</f>
        <v>2035</v>
      </c>
      <c r="G28" s="47">
        <f t="shared" si="1"/>
        <v>1531</v>
      </c>
      <c r="H28" s="28">
        <f>B28-E28</f>
        <v>1982</v>
      </c>
      <c r="I28" s="28">
        <f>C28-F28</f>
        <v>1185</v>
      </c>
      <c r="J28" s="28">
        <f>D28-G28</f>
        <v>797</v>
      </c>
    </row>
    <row r="29" spans="1:10" ht="12.75">
      <c r="A29" s="27"/>
      <c r="B29" s="12"/>
      <c r="C29" s="12"/>
      <c r="D29" s="47"/>
      <c r="E29" s="12"/>
      <c r="F29" s="12"/>
      <c r="G29" s="47"/>
      <c r="H29" s="28"/>
      <c r="I29" s="28"/>
      <c r="J29" s="28"/>
    </row>
    <row r="30" spans="1:10" ht="12.75">
      <c r="A30" s="52" t="s">
        <v>71</v>
      </c>
      <c r="B30" s="30">
        <f aca="true" t="shared" si="6" ref="B30:G30">SUM(B26:B28)</f>
        <v>23555</v>
      </c>
      <c r="C30" s="30">
        <f t="shared" si="6"/>
        <v>12050</v>
      </c>
      <c r="D30" s="50">
        <f t="shared" si="6"/>
        <v>11505</v>
      </c>
      <c r="E30" s="30">
        <f t="shared" si="6"/>
        <v>19733</v>
      </c>
      <c r="F30" s="30">
        <f t="shared" si="6"/>
        <v>9946</v>
      </c>
      <c r="G30" s="50">
        <f t="shared" si="6"/>
        <v>9787</v>
      </c>
      <c r="H30" s="31">
        <f>B30-E30</f>
        <v>3822</v>
      </c>
      <c r="I30" s="31">
        <f>C30-F30</f>
        <v>2104</v>
      </c>
      <c r="J30" s="31">
        <f>D30-G30</f>
        <v>1718</v>
      </c>
    </row>
    <row r="31" spans="8:10" ht="12.75">
      <c r="H31" s="28"/>
      <c r="I31" s="28"/>
      <c r="J31" s="28"/>
    </row>
    <row r="32" spans="8:10" ht="12.75">
      <c r="H32" s="28"/>
      <c r="I32" s="28"/>
      <c r="J32" s="28"/>
    </row>
    <row r="33" ht="12.75">
      <c r="F33" s="12"/>
    </row>
  </sheetData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BruhnCh</dc:creator>
  <cp:keywords/>
  <dc:description/>
  <cp:lastModifiedBy>Jähne, Regina</cp:lastModifiedBy>
  <cp:lastPrinted>2012-02-03T08:47:22Z</cp:lastPrinted>
  <dcterms:created xsi:type="dcterms:W3CDTF">2010-09-22T05:26:38Z</dcterms:created>
  <dcterms:modified xsi:type="dcterms:W3CDTF">2012-04-25T08:32:04Z</dcterms:modified>
  <cp:category/>
  <cp:version/>
  <cp:contentType/>
  <cp:contentStatus/>
</cp:coreProperties>
</file>