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65" yWindow="660" windowWidth="20250" windowHeight="11010" tabRatio="797"/>
  </bookViews>
  <sheets>
    <sheet name="VO_1" sheetId="24" r:id="rId1"/>
    <sheet name="VO_2" sheetId="23" r:id="rId2"/>
    <sheet name="VO_3" sheetId="17" r:id="rId3"/>
    <sheet name="VO_4" sheetId="52" r:id="rId4"/>
    <sheet name="T1_1" sheetId="35" r:id="rId5"/>
    <sheet name="T2_1" sheetId="28" r:id="rId6"/>
    <sheet name="T3_1" sheetId="30" r:id="rId7"/>
    <sheet name="TB5_1" sheetId="45" state="hidden" r:id="rId8"/>
    <sheet name="TG5_1" sheetId="46" r:id="rId9"/>
    <sheet name="DatenBesch_1" sheetId="47" state="hidden" r:id="rId10"/>
    <sheet name="TGBESCHAEND_1" sheetId="48" r:id="rId11"/>
    <sheet name="DatenUMs_1" sheetId="49" state="hidden" r:id="rId12"/>
    <sheet name="TGUMSATZAEND_1" sheetId="50" r:id="rId13"/>
    <sheet name="Tabelle1" sheetId="51" r:id="rId14"/>
  </sheets>
  <definedNames>
    <definedName name="_xlnm.Print_Area" localSheetId="10">TGBESCHAEND_1!$A:$A</definedName>
    <definedName name="_xlnm.Print_Area" localSheetId="12">TGUMSATZAEND_1!$A:$A</definedName>
    <definedName name="_xlnm.Print_Area" localSheetId="3">VO_4!$A$1:$B$103</definedName>
    <definedName name="_xlnm.Print_Titles" localSheetId="4">T1_1!$1:$7</definedName>
    <definedName name="_xlnm.Print_Titles" localSheetId="5">T2_1!$1:$7</definedName>
    <definedName name="Z_1004_Abruf_aus_Zeitreihe_variabel" localSheetId="9">#REF!</definedName>
    <definedName name="Z_1004_Abruf_aus_Zeitreihe_variabel" localSheetId="11">#REF!</definedName>
    <definedName name="Z_1004_Abruf_aus_Zeitreihe_variabel" localSheetId="7">#REF!</definedName>
    <definedName name="Z_1004_Abruf_aus_Zeitreihe_variabel" localSheetId="8">#REF!</definedName>
    <definedName name="Z_1004_Abruf_aus_Zeitreihe_variabel" localSheetId="10">#REF!</definedName>
    <definedName name="Z_1004_Abruf_aus_Zeitreihe_variabel" localSheetId="12">#REF!</definedName>
    <definedName name="Z_1004_Abruf_aus_Zeitreihe_variabel">#REF!</definedName>
  </definedNames>
  <calcPr calcId="145621"/>
</workbook>
</file>

<file path=xl/calcChain.xml><?xml version="1.0" encoding="utf-8"?>
<calcChain xmlns="http://schemas.openxmlformats.org/spreadsheetml/2006/main">
  <c r="D65" i="28" l="1"/>
  <c r="G52" i="28"/>
  <c r="H59" i="35"/>
  <c r="G76" i="28" l="1"/>
  <c r="G75" i="28"/>
  <c r="G74" i="28"/>
  <c r="G73" i="28"/>
  <c r="G72" i="28"/>
  <c r="G70" i="28"/>
  <c r="G65" i="28"/>
  <c r="G62" i="28"/>
  <c r="G60" i="28"/>
  <c r="G58" i="28"/>
  <c r="G55" i="28"/>
  <c r="G54" i="28"/>
  <c r="G53" i="28"/>
  <c r="G51" i="28"/>
  <c r="G50" i="28"/>
  <c r="G49" i="28"/>
  <c r="G48" i="28"/>
  <c r="G47" i="28"/>
  <c r="G46" i="28"/>
  <c r="G45" i="28"/>
  <c r="G44" i="28"/>
  <c r="G43" i="28"/>
  <c r="G41" i="28"/>
  <c r="G40" i="28"/>
  <c r="G37" i="28"/>
  <c r="G36" i="28"/>
  <c r="G35" i="28"/>
  <c r="G34" i="28"/>
  <c r="G33" i="28"/>
  <c r="G32" i="28"/>
  <c r="G31" i="28"/>
  <c r="G30" i="28"/>
  <c r="G29" i="28"/>
  <c r="G28" i="28"/>
  <c r="G27" i="28"/>
  <c r="G26" i="28"/>
  <c r="G25" i="28"/>
  <c r="G18" i="28"/>
  <c r="G14" i="28" l="1"/>
  <c r="G12" i="28"/>
  <c r="F76" i="28"/>
  <c r="F75" i="28"/>
  <c r="F74" i="28"/>
  <c r="F73" i="28"/>
  <c r="F72" i="28"/>
  <c r="F70" i="28"/>
  <c r="F65" i="28"/>
  <c r="F62" i="28"/>
  <c r="F60" i="28"/>
  <c r="F58" i="28"/>
  <c r="F55" i="28"/>
  <c r="F54" i="28"/>
  <c r="F53" i="28"/>
  <c r="F52" i="28"/>
  <c r="F51" i="28"/>
  <c r="F50" i="28"/>
  <c r="F49" i="28"/>
  <c r="F48" i="28"/>
  <c r="F47" i="28"/>
  <c r="F46" i="28"/>
  <c r="F45" i="28"/>
  <c r="F44" i="28"/>
  <c r="F43" i="28"/>
  <c r="F41" i="28"/>
  <c r="F40" i="28"/>
  <c r="F37" i="28"/>
  <c r="F36" i="28"/>
  <c r="F35" i="28"/>
  <c r="F34" i="28"/>
  <c r="F33" i="28"/>
  <c r="F32" i="28"/>
  <c r="F31" i="28"/>
  <c r="F30" i="28"/>
  <c r="F29" i="28"/>
  <c r="F28" i="28"/>
  <c r="F27" i="28"/>
  <c r="F26" i="28"/>
  <c r="F25" i="28"/>
  <c r="F18" i="28"/>
  <c r="F14" i="28"/>
  <c r="F12" i="28"/>
  <c r="D76" i="28"/>
  <c r="D75" i="28"/>
  <c r="D74" i="28"/>
  <c r="D73" i="28"/>
  <c r="D72" i="28"/>
  <c r="D70" i="28"/>
  <c r="D68" i="28"/>
  <c r="D67" i="28"/>
  <c r="D64" i="28"/>
  <c r="D63" i="28"/>
  <c r="D62" i="28"/>
  <c r="D61" i="28"/>
  <c r="D60" i="28"/>
  <c r="D59" i="28"/>
  <c r="D58"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3" i="28"/>
  <c r="D19" i="28"/>
  <c r="D18" i="28"/>
  <c r="D16" i="28"/>
  <c r="D15" i="28"/>
  <c r="D14" i="28"/>
  <c r="D13" i="28"/>
  <c r="D12" i="28"/>
  <c r="H75" i="35"/>
  <c r="H74" i="35"/>
  <c r="H73" i="35"/>
  <c r="H72" i="35"/>
  <c r="H71" i="35" l="1"/>
  <c r="H70" i="35"/>
  <c r="H68" i="35"/>
  <c r="H67" i="35"/>
  <c r="H65" i="35"/>
  <c r="H64" i="35"/>
  <c r="H63" i="35"/>
  <c r="H62" i="35"/>
  <c r="H61" i="35"/>
  <c r="H60" i="35"/>
  <c r="H58" i="35"/>
  <c r="H57" i="35"/>
  <c r="H55" i="35"/>
  <c r="H54" i="35"/>
  <c r="H53" i="35"/>
  <c r="H52" i="35"/>
  <c r="H51" i="35"/>
  <c r="H50" i="35"/>
  <c r="H49" i="35"/>
  <c r="H48" i="35"/>
  <c r="H47" i="35"/>
  <c r="H45" i="35"/>
  <c r="H44" i="35"/>
  <c r="H43" i="35"/>
  <c r="H42" i="35"/>
  <c r="H41" i="35"/>
  <c r="H40" i="35"/>
  <c r="H39" i="35"/>
  <c r="H38" i="35"/>
  <c r="H37" i="35"/>
  <c r="H36" i="35"/>
  <c r="H35" i="35"/>
  <c r="H34" i="35"/>
  <c r="H33" i="35"/>
  <c r="H32" i="35"/>
  <c r="H31" i="35"/>
  <c r="H30" i="35"/>
  <c r="H29" i="35"/>
  <c r="H28" i="35"/>
  <c r="H27" i="35"/>
  <c r="H26" i="35"/>
  <c r="H25" i="35"/>
  <c r="H23" i="35"/>
  <c r="H19" i="35"/>
  <c r="H18" i="35"/>
  <c r="H16" i="35"/>
  <c r="H15" i="35" l="1"/>
  <c r="H14" i="35" l="1"/>
  <c r="H13" i="35"/>
  <c r="H12" i="35"/>
  <c r="F75" i="35"/>
  <c r="F74" i="35"/>
  <c r="F73" i="35"/>
  <c r="F72" i="35"/>
  <c r="F71" i="35"/>
  <c r="F70" i="35"/>
  <c r="F68" i="35" l="1"/>
  <c r="F67" i="35"/>
  <c r="F65" i="35"/>
  <c r="F64" i="35"/>
  <c r="F63" i="35"/>
  <c r="F62" i="35"/>
  <c r="F61" i="35"/>
  <c r="F60" i="35"/>
  <c r="F59" i="35"/>
  <c r="F58" i="35"/>
  <c r="F57" i="35"/>
  <c r="F55" i="35"/>
  <c r="F54" i="35"/>
  <c r="F53" i="35"/>
  <c r="F52" i="35"/>
  <c r="F51" i="35"/>
  <c r="F50" i="35"/>
  <c r="F49" i="35"/>
  <c r="F48" i="35"/>
  <c r="F47" i="35"/>
  <c r="F46" i="35"/>
  <c r="F45" i="35"/>
  <c r="F44" i="35"/>
  <c r="F43" i="35"/>
  <c r="F42" i="35"/>
  <c r="F41" i="35"/>
  <c r="F40" i="35"/>
  <c r="F39" i="35"/>
  <c r="F38" i="35"/>
  <c r="F37" i="35"/>
  <c r="F36" i="35"/>
  <c r="F35" i="35"/>
  <c r="F34" i="35"/>
  <c r="F33" i="35"/>
  <c r="F32" i="35"/>
  <c r="F31" i="35"/>
  <c r="F30" i="35"/>
  <c r="F29" i="35"/>
  <c r="F28" i="35"/>
  <c r="F27" i="35"/>
  <c r="F26" i="35"/>
  <c r="F23" i="35"/>
  <c r="F19" i="35"/>
  <c r="F18" i="35"/>
  <c r="F16" i="35"/>
  <c r="F15" i="35"/>
  <c r="F14" i="35"/>
  <c r="F13" i="35"/>
  <c r="F12" i="35"/>
  <c r="E6" i="47" l="1"/>
  <c r="E7" i="47"/>
  <c r="E8" i="47"/>
  <c r="E9" i="47"/>
  <c r="E10" i="47"/>
  <c r="E11" i="47"/>
  <c r="E12" i="47"/>
  <c r="E13" i="47"/>
  <c r="E14" i="47"/>
  <c r="E15" i="47"/>
  <c r="E16" i="47"/>
  <c r="E17" i="47"/>
  <c r="E18" i="47"/>
  <c r="E19" i="47"/>
  <c r="E20" i="47"/>
  <c r="E21" i="47"/>
  <c r="E22" i="47"/>
  <c r="E5" i="47"/>
  <c r="E22" i="49"/>
  <c r="E21" i="49"/>
  <c r="E20" i="49"/>
  <c r="E19" i="49"/>
  <c r="E18" i="49"/>
  <c r="E5" i="49"/>
  <c r="E17" i="49"/>
  <c r="E16" i="49"/>
  <c r="E15" i="49"/>
  <c r="E14" i="49"/>
  <c r="E13" i="49"/>
  <c r="E11" i="49"/>
  <c r="E12" i="49"/>
  <c r="E10" i="49"/>
  <c r="E9" i="49"/>
  <c r="E8" i="49"/>
  <c r="E7" i="49"/>
  <c r="E6" i="49"/>
</calcChain>
</file>

<file path=xl/sharedStrings.xml><?xml version="1.0" encoding="utf-8"?>
<sst xmlns="http://schemas.openxmlformats.org/spreadsheetml/2006/main" count="666" uniqueCount="321">
  <si>
    <t>Bezeichnung</t>
  </si>
  <si>
    <t>Bruttoentgelte</t>
  </si>
  <si>
    <t>1 000 Euro</t>
  </si>
  <si>
    <t>WZ 2008</t>
  </si>
  <si>
    <t>·</t>
  </si>
  <si>
    <t>–</t>
  </si>
  <si>
    <t xml:space="preserve">Inhaltsverzeichnis </t>
  </si>
  <si>
    <t>Vorbemerkung</t>
  </si>
  <si>
    <t>Jahr</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</si>
  <si>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</si>
  <si>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</si>
  <si>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</si>
  <si>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</si>
  <si>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</si>
  <si>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</si>
  <si>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</si>
  <si>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</si>
  <si>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</si>
  <si>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</si>
  <si>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</si>
  <si>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</si>
  <si>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</si>
  <si>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</si>
  <si>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</si>
  <si>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</si>
  <si>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</si>
  <si>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</si>
  <si>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</si>
  <si>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</si>
  <si>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</si>
  <si>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</si>
  <si>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</si>
  <si>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</si>
  <si>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</si>
  <si>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</si>
  <si>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</si>
  <si>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</si>
  <si>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</si>
  <si>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</si>
  <si>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</si>
  <si>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</si>
  <si>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</si>
  <si>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</si>
  <si>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</si>
  <si>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</si>
  <si>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</si>
  <si>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</si>
  <si>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</si>
  <si>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</si>
  <si>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</si>
  <si>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</si>
  <si>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</si>
  <si>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</si>
  <si>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</si>
  <si>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</si>
  <si>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</si>
  <si>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</si>
  <si>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</si>
  <si>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</si>
  <si>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</si>
  <si>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</si>
  <si>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</si>
  <si>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</si>
  <si>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</si>
  <si>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</si>
  <si>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</si>
  <si>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</si>
  <si>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</si>
  <si>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</si>
  <si>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</si>
  <si>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</si>
  <si>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</si>
  <si>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</si>
  <si>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</si>
  <si>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</si>
  <si>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</si>
  <si>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</si>
  <si>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</si>
  <si>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</si>
  <si>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</si>
  <si>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</si>
  <si>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</si>
  <si>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</si>
  <si>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</si>
  <si>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</si>
  <si>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</si>
  <si>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</si>
  <si>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</si>
  <si>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</si>
  <si>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</si>
  <si>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</si>
  <si>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</si>
  <si>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</si>
  <si>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</si>
  <si>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</si>
  <si>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</si>
  <si>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</si>
  <si>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</si>
  <si>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</si>
  <si>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</si>
  <si>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</si>
  <si>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</si>
  <si>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</si>
  <si>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</si>
  <si>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</si>
  <si>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</si>
  <si>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</si>
  <si>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</si>
  <si>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</si>
  <si>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</si>
  <si>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</si>
  <si>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</si>
  <si>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</si>
  <si>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</si>
  <si>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</si>
  <si>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</si>
  <si>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</si>
  <si>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</si>
  <si>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</si>
  <si>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</si>
  <si>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</si>
  <si>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</si>
  <si>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</si>
  <si>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</si>
  <si>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</si>
  <si>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</si>
  <si>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</si>
  <si>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</si>
  <si>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</si>
  <si>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</si>
  <si>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</si>
  <si>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</si>
  <si>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</si>
  <si>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</si>
  <si>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</si>
  <si>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</si>
  <si>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</si>
  <si>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</si>
  <si>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</si>
  <si>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</si>
  <si>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</si>
  <si>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</si>
  <si>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</si>
  <si>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</si>
  <si>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</si>
  <si>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</si>
  <si>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</si>
  <si>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</si>
  <si>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</si>
  <si>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</si>
  <si>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</si>
  <si>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</si>
  <si>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</si>
  <si>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</si>
  <si>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</si>
  <si>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</si>
  <si>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</si>
  <si>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</si>
  <si>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</si>
  <si>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</si>
  <si>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</si>
  <si>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</si>
  <si>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</si>
  <si>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</si>
  <si>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</si>
  <si>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</si>
  <si>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</si>
  <si>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</si>
  <si>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</si>
  <si>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</si>
  <si>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</si>
  <si>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</si>
  <si>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</si>
  <si>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</si>
  <si>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</si>
  <si>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</si>
  <si>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</si>
  <si>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</si>
  <si>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</si>
  <si>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</si>
  <si>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</si>
  <si>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</si>
  <si>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</si>
  <si>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</si>
  <si>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</si>
  <si>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</si>
  <si>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</si>
  <si>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</si>
  <si>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</si>
  <si>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</si>
  <si>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</si>
  <si>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</si>
  <si>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</si>
  <si>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</si>
  <si>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</si>
  <si>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</si>
  <si>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</si>
  <si>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</si>
  <si>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</si>
  <si>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</si>
  <si>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</si>
  <si>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</si>
  <si>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Vorleistungsgüterproduzenten</t>
  </si>
  <si>
    <t>Investitionsgüterproduzenten</t>
  </si>
  <si>
    <t>Gebrauchsgüterproduzenten</t>
  </si>
  <si>
    <t>Verbrauchsgüterproduzenten</t>
  </si>
  <si>
    <t>×</t>
  </si>
  <si>
    <t>WZ 
2008</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</si>
  <si>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</si>
  <si>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</si>
  <si>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</si>
  <si>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</si>
  <si>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</si>
  <si>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</si>
  <si>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</si>
  <si>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</si>
  <si>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</si>
  <si>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</si>
  <si>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</si>
  <si>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</si>
  <si>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</si>
  <si>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</si>
  <si>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</si>
  <si>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</si>
  <si>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</si>
  <si>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</si>
  <si>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</si>
  <si>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</si>
  <si>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</si>
  <si>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Export-
quote 
in %</t>
  </si>
  <si>
    <t>darunter 
Auslands-
umsatz</t>
  </si>
  <si>
    <t>Mahl- und Schälmühlen, H. v. Stärke 
  und Stärkeerzeugnissen</t>
  </si>
  <si>
    <t>H. v. Holz-, Flecht-, Korb- und Korkwaren 
  (ohne Möbel)</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</si>
  <si>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</si>
  <si>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</si>
  <si>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</si>
  <si>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</si>
  <si>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</si>
  <si>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</si>
  <si>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</si>
  <si>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</si>
  <si>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</si>
  <si>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</si>
  <si>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</si>
  <si>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</si>
  <si>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</si>
  <si>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</si>
  <si>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</si>
  <si>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</si>
  <si>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H. v.</t>
  </si>
  <si>
    <t>Herstellung von</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</si>
  <si>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</si>
  <si>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Sofern in den Produkten auf das Vorhandensein von Copyrightrechten Dritter 
hingewiesen wird, sind die in deren Produkten ausgewiesenen Copyrightbestimmungen 
zu wahren. Alle übrigen Rechte bleiben vorbehalten.</t>
  </si>
  <si>
    <t>Veränderung in ausgewählten Wirtschaftszweigen gegenüber dem Vorjahr in %</t>
  </si>
  <si>
    <t>H. v. Druckerzeugnissen; Vervielfältigung von bespielten Ton-, Bild- und Datenträgern</t>
  </si>
  <si>
    <t>5. Betriebe, Tätige Personen, Bruttoentgelte, Umsatz und Auslandsumsatz im Verarbeitenden Gewerbe</t>
  </si>
  <si>
    <t>(endgültige Ergebnisse)</t>
  </si>
  <si>
    <t>darunter
Auslandsumsatz</t>
  </si>
  <si>
    <r>
      <t>Anzahl</t>
    </r>
    <r>
      <rPr>
        <vertAlign val="superscript"/>
        <sz val="9"/>
        <rFont val="Arial Narrow"/>
        <family val="2"/>
      </rPr>
      <t>1</t>
    </r>
  </si>
  <si>
    <r>
      <rPr>
        <vertAlign val="superscript"/>
        <sz val="8"/>
        <rFont val="Arial Narrow"/>
        <family val="2"/>
      </rPr>
      <t>1</t>
    </r>
    <r>
      <rPr>
        <sz val="8"/>
        <rFont val="Arial Narrow"/>
        <family val="2"/>
      </rPr>
      <t xml:space="preserve">  Jahresdurchschnitt errechnet aus Monatsangaben; ab Berichtsjahr 2007 stichtagsbezogene Angaben (Stand 30.09.).</t>
    </r>
  </si>
  <si>
    <r>
      <rPr>
        <vertAlign val="superscript"/>
        <sz val="8"/>
        <rFont val="Arial Narrow"/>
        <family val="2"/>
      </rPr>
      <t>a</t>
    </r>
    <r>
      <rPr>
        <sz val="8"/>
        <rFont val="Arial Narrow"/>
        <family val="2"/>
      </rPr>
      <t xml:space="preserve">  Infolge der Einführung der Wirtschaftszweigklassifikation WZ 1995 sind Vorjahresvergleiche nur in eingeschränktem Maße möglich.</t>
    </r>
  </si>
  <si>
    <r>
      <rPr>
        <vertAlign val="superscript"/>
        <sz val="8"/>
        <rFont val="Arial Narrow"/>
        <family val="2"/>
      </rPr>
      <t>b</t>
    </r>
    <r>
      <rPr>
        <sz val="8"/>
        <rFont val="Arial Narrow"/>
        <family val="2"/>
      </rPr>
      <t xml:space="preserve">  Infolge der Einführung der Wirtschaftszweigklassifikation WZ 2008 sind Vorjahresvergleiche nur in eingeschränktem Maße möglich.</t>
    </r>
  </si>
  <si>
    <t>Schl.</t>
  </si>
  <si>
    <t>Branchen</t>
  </si>
  <si>
    <t>Veränd.
in %</t>
  </si>
  <si>
    <t>10 H.v. Nahrungsmitteln</t>
  </si>
  <si>
    <t>11 Getränkeherstellung</t>
  </si>
  <si>
    <t>16 H.v. Holzwaren</t>
  </si>
  <si>
    <t>18 H.v. Druckerzeugnissen</t>
  </si>
  <si>
    <t>19 Kokerei u. Mineralölverarb.</t>
  </si>
  <si>
    <t>20 H.v. chemischen Erzeugnissen</t>
  </si>
  <si>
    <t>21 H.v. pharmazeut. Erzeugnissen</t>
  </si>
  <si>
    <t>22 H.v. Gummi/Kunststoff</t>
  </si>
  <si>
    <t>23 H.v. Glas, Glaswaren</t>
  </si>
  <si>
    <t>24 Metallerzeugung</t>
  </si>
  <si>
    <t>25 H.v. Metallerzeugnissen</t>
  </si>
  <si>
    <t>26 H.v. elektron. Erzeugnissen</t>
  </si>
  <si>
    <t>27 H.v. Elektromotoren</t>
  </si>
  <si>
    <t>28 H.v. Maschinen</t>
  </si>
  <si>
    <t>30 Sonstiger Fahrzeugbau</t>
  </si>
  <si>
    <t>314</t>
  </si>
  <si>
    <t>32 H.v. sonstigen Waren</t>
  </si>
  <si>
    <t>315</t>
  </si>
  <si>
    <t>33 Reparatur von Maschinen</t>
  </si>
  <si>
    <t>B + C Verarbeitendes Gewerbe</t>
  </si>
  <si>
    <t>im Verarbeitenden Gewerbe sowie Bergbau und Gewinnung von Steinen und Erden</t>
  </si>
  <si>
    <t>Methodik und Begriffsdefinitionen</t>
  </si>
  <si>
    <t>Ver-
änderung 
gegenüber
dem Vorjahr</t>
  </si>
  <si>
    <t>3. Betriebe, Tätige Personen, Bruttoentgelte, Umsatz und Auslandsumsatz</t>
  </si>
  <si>
    <t>– endgültige Ergebnisse –</t>
  </si>
  <si>
    <t xml:space="preserve">· </t>
  </si>
  <si>
    <t>Beschäftigte</t>
  </si>
  <si>
    <t xml:space="preserve"> 2015</t>
  </si>
  <si>
    <t>Betriebe, Tätige Personen und Bruttoentgelte im Verarbeitenden Gewerbe sowie Bergbau sowie Bergbau und
   Gewinnung von Steinen und Erden in Schleswig-Holstein nach Wirtschaftszweigen im Berichtsjahr 2013
   (endgültige Ergebnisse)</t>
  </si>
  <si>
    <t>Umsatz, Auslandsumsatz, Exportquote und  Umsatz aus Eigenerzeugung im Verarbeitenden Gewerbe 
  sowie Bergbau und Gewinnung von Steinen und Erden in Schleswig-Holstein 
  nach Wirtschaftszweigen im Berichtsjahr 2013 (endgültige Ergebnisse)</t>
  </si>
  <si>
    <t>Betriebe, Tätige Personen und Bruttoentgelte im Verarbeitenden Gewerbe sowie Bergbau und Gewinnung 
  von Steinen und Erden in Schleswig-Holstein 2013 nach Kreisen (endgültige Ergebnisse)</t>
  </si>
  <si>
    <t>Umsatz, Auslandsumsatz und Exportquote im Verarbeitenden Gewerbe sowie Bergbau und Gewinnung 
  von Steinen und Erden in Schleswig-Holstein 2013 nach Kreisen (endgültige Ergebnisse)</t>
  </si>
  <si>
    <t>Betriebe, Tätige Personen, Bruttoentgelte, Umsatz und Auslandsumsatz im Verarbeitenden Gewerbe 
  sowie Bergbau und Gewinnung von Steinen und Erden in Schleswig-Holstein 1980 - 2013
  (endgültige Ergebnisse)</t>
  </si>
  <si>
    <t>Tätige Personen, Umsatz und Auslandsumsatz der Betriebe im Verarbeitenden Gewerbe sowie Bergbau 
  und Gewinnung von Steinen und Erden in Schleswig-Holstein von 1995 - 2013</t>
  </si>
  <si>
    <t>Tätige Personen der Betriebe im Verarbeitenden Gewerbe sowie Bergbau und Gewinnung von Steinen und 
  und Erden in Schleswig-Holstein im Jahr 2013 - Veränderung in ausgewählten Wirtschaftszweigen 
  gegenüber dem Vorjahr</t>
  </si>
  <si>
    <t>Umsatz der Betriebe im Verarbeitenden Gewerbe sowie Bergbau und Gewinnung von Steinen und Erden
   in Schleswig-Holstein im Jahr 2013 - Veränderung in ausgewählten Wirtschaftszweigen 
  gegenüber dem Vorjahr</t>
  </si>
  <si>
    <t xml:space="preserve">© Statistisches Amt für Hamburg und Schleswig-Holstein, Hamburg 2014         </t>
  </si>
  <si>
    <t>Kennziffer: E I 1 - j 16 HH</t>
  </si>
  <si>
    <t>und Erden in Hamburg 2016</t>
  </si>
  <si>
    <t xml:space="preserve">© Statistisches Amt für Hamburg und Schleswig-Holstein, Hamburg 2017  </t>
  </si>
  <si>
    <t>Betriebe, Tätige Personen und Bruttoentgelte im Verarbeitenden Gewerbe sowie Bergbau und
   Gewinnung von Steinen und Erden in Hamburg nach Wirtschaftszweigen im Berichtsjahr 2016
   (endgültige Ergebnisse)</t>
  </si>
  <si>
    <t>Umsatz, Auslandsumsatz, Exportquote und  Umsatz aus Eigenerzeugung im Verarbeitenden Gewerbe 
  sowie Bergbau und Gewinnung von Steinen und Erden in Hamburg nach Wirtschaftszweigen 
  im Berichtsjahr 2016 (endgültige Ergebnisse)</t>
  </si>
  <si>
    <t>Betriebe, Tätige Personen, Bruttoentgelte, Umsatz und Auslandsumsatz im Verarbeitenden Gewerbe 
  sowie Bergbau und Gewinnung von Steinen und Erden in Hamburg 1980 - 2016 (endgültige Ergebnisse)</t>
  </si>
  <si>
    <t>Tätige Personen der Betriebe im Verarbeitenden Gewerbe sowie Bergbau und Gewinnung von Steinen und 
  und Erden in Hamburg im Jahr 2016 - Veränderung in ausgewählten Wirtschaftszweigen gegenüber
  dem Vorjahr (endgültige Ergebnisse)</t>
  </si>
  <si>
    <t>Umsatz der Betriebe im Verarbeitenden Gewerbe sowie Bergbau und Gewinnung von Steinen und Erden in Hamburg im Jahr 2016 - Veränderung in ausgewählten Wirtschaftszweigen gegenüber dem Vorjahr (endgültige Ergebnisse)</t>
  </si>
  <si>
    <t>2016</t>
  </si>
  <si>
    <t>in Hamburg 1980 bis  2016 (endgültige Ergebnisse)</t>
  </si>
  <si>
    <t>Grafik 2: Tätige Personen der Betriebe im Verarbeitenden Gewerbe sowie Bergbau und Gewinnung von Steinen und Erden in Hamburg im Jahr 2016</t>
  </si>
  <si>
    <t>Grafik 3: Umsatz der Betriebe im Verarbeitenden Gewerbe sowie Bergbau und Gewinnung von Steinen und Erden in Hamburg im Jahr 2016</t>
  </si>
  <si>
    <t xml:space="preserve"> 2016</t>
  </si>
  <si>
    <t>1. Betriebe, Tätige Personen und Bruttoentgelte im Verarbeitenden Gewerbe 
sowie Bergbau und Gewinnung von Steinen und Erden in Hamburg nach Wirtschaftszweigen  
im Berichtsjahr 2016 (endgültige Ergebnisse)</t>
  </si>
  <si>
    <t>Grafik 1: Tätige Personen, Gesamtumsatz und Auslandsumsatz der Betriebe im Verarbeitenden Gewerbe sowie Bergbau und Gewinnung von Steinen und Erden in Hamburg
1996 bis 2016</t>
  </si>
  <si>
    <t>sowie Bergbau und Gewinnung von Steinen und Erden in Hamburg 1996 - 2016
(endgültige Ergebnisse)</t>
  </si>
  <si>
    <t xml:space="preserve">2. Umsatz, Auslandsumsatz, Exportquote und Umsatz aus Eigenerzeugung im Verarbeitenden Gewerbe sowie Bergbau und Gewinnung von Steinen und Erden in Hamburg nach Wirtschaftszweigen im Berichtsjahr 2016 (endgültige Ergebnisse) </t>
  </si>
  <si>
    <t>Tätige Personen, Gesamtumsatz und Auslandsumsatz der Betriebe im Verarbeitenden Gewerbe sowie Bergbau 
  und Gewinnung von Steinen und Erden in Hamburg von 1996 - 2016 (endgültige Ergebnisse)</t>
  </si>
  <si>
    <t>Herausgegeben am: 23. Juni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</si>
</sst>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3" formatCode="_-* #,##0.00\ _€_-;\-* #,##0.00\ _€_-;_-* &quot;-&quot;??\ _€_-;_-@_-"/>
    <numFmt numFmtId="164" formatCode="###\ ###\ ###"/>
    <numFmt numFmtId="165" formatCode="@*."/>
    <numFmt numFmtId="166" formatCode="#\ ##0.0;\-\ #\ ##0.0;\–"/>
    <numFmt numFmtId="167" formatCode="#\ ###\ ###;\-\ #\ ###\ ###;\-"/>
    <numFmt numFmtId="168" formatCode="0.0;\-\ 0.0"/>
    <numFmt numFmtId="169" formatCode="#\ ###\ ##0"/>
    <numFmt numFmtId="170" formatCode="\ #\ ###\ ##0"/>
    <numFmt numFmtId="171" formatCode="0_ ;\-0\ "/>
    <numFmt numFmtId="172" formatCode="0.0"/>
    <numFmt numFmtId="173" formatCode="\ 0.0"/>
    <numFmt numFmtId="174" formatCode="0;[Red]0"/>
    <numFmt numFmtId="175" formatCode=";;;"/>
    <numFmt numFmtId="176" formatCode="\ ##\ ###\ ##0.0\ \ ;\ \–#\ ###\ ##0.0\ \ ;\ * \–\ \ ;\ * @\ \ "/>
    <numFmt numFmtId="177" formatCode="\ #\ ###\ ###\ ##0\ \ ;\ \–###\ ###\ ##0\ \ ;\ * \–\ \ ;\ * @\ \ "/>
    <numFmt numFmtId="178" formatCode="_-* #,##0_-;\-* #,##0_-;_-* &quot;-&quot;_-;_-@_-"/>
    <numFmt numFmtId="179" formatCode="_-* #,##0.00_-;\-* #,##0.00_-;_-* &quot;-&quot;??_-;_-@_-"/>
    <numFmt numFmtId="180" formatCode="_-&quot;$&quot;* #,##0_-;\-&quot;$&quot;* #,##0_-;_-&quot;$&quot;* &quot;-&quot;_-;_-@_-"/>
    <numFmt numFmtId="181" formatCode="_-&quot;$&quot;* #,##0.00_-;\-&quot;$&quot;* #,##0.00_-;_-&quot;$&quot;* &quot;-&quot;??_-;_-@_-"/>
    <numFmt numFmtId="182" formatCode="_-* #,##0.00\ [$€]_-;\-* #,##0.00\ [$€]_-;_-* &quot;-&quot;??\ [$€]_-;_-@_-"/>
    <numFmt numFmtId="183" formatCode="#\ ###\ ##0&quot; Tsd&quot;"/>
    <numFmt numFmtId="184" formatCode="0\ &quot;%&quot;"/>
    <numFmt numFmtId="185" formatCode="#\ ###\ ##0&quot; TDM&quot;"/>
    <numFmt numFmtId="186" formatCode="#\ ###\ ##0&quot; TEuro&quot;"/>
    <numFmt numFmtId="187" formatCode="#\ ##0\ ##0\ "/>
    <numFmt numFmtId="188" formatCode="\ ??0.0\ \ ;\ * \–??0.0\ \ ;\ * \–\ \ ;\ * @\ \ "/>
    <numFmt numFmtId="189" formatCode="###\ ###\ ###__"/>
    <numFmt numFmtId="190" formatCode="###\ ###__"/>
    <numFmt numFmtId="191" formatCode="###\ ##0.0__"/>
    <numFmt numFmtId="192" formatCode="###\ ###\ ##0.0__"/>
    <numFmt numFmtId="193" formatCode="_(&quot;$&quot;* #,##0.00_);_(&quot;$&quot;* \(#,##0.00\);_(&quot;$&quot;* &quot;-&quot;??_);_(@_)"/>
    <numFmt numFmtId="194" formatCode="\ \ 0.00\ \ "/>
    <numFmt numFmtId="195" formatCode="\ \ 0.0\ \ "/>
    <numFmt numFmtId="196" formatCode="###\ ##0\ ;\-\ ###\ ##0\ ;&quot;– &quot;"/>
    <numFmt numFmtId="197" formatCode="##0.0\ ;\-\ ##0.0\ ;&quot;– &quot;\ \ \ "/>
    <numFmt numFmtId="198" formatCode="#\ ###\ ##0\ ;\-\ #\ ###\ ##0\ ;&quot;– &quot;"/>
    <numFmt numFmtId="199" formatCode="##\ ###\ ##0\ ;\-\ ##\ ###\ ##0\ ;&quot;– &quot;"/>
    <numFmt numFmtId="200" formatCode="###\ ###\ ##0;\-###\ ###\ ##0;\-"/>
    <numFmt numFmtId="201" formatCode="###\ ##0.0;\-###\ ##0.0;\-"/>
    <numFmt numFmtId="202" formatCode="0.0_ ;\-0.0\ "/>
  </numFmts>
  <fonts count="95">
    <font>
      <sz val="10"/>
      <name val="Arial"/>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1"/>
      <color theme="1"/>
      <name val="Calibri"/>
      <family val="2"/>
      <scheme val="minor"/>
    </font>
    <font>
      <sz val="11"/>
      <color theme="1"/>
      <name val="Calibri"/>
      <family val="2"/>
      <scheme val="minor"/>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
      <sz val="10"/>
      <color indexed="8"/>
      <name val="MS Sans Serif"/>
      <family val="2"/>
    </font>
    <font>
      <b/>
      <sz val="8"/>
      <name val="Arial"/>
      <family val="2"/>
    </font>
    <font>
      <b/>
      <sz val="10"/>
      <color indexed="8"/>
      <name val="Arial"/>
      <family val="2"/>
    </font>
    <font>
      <sz val="10"/>
      <color indexed="8"/>
      <name val="Arial"/>
      <family val="2"/>
    </font>
    <font>
      <sz val="10"/>
      <color indexed="8"/>
      <name val="MS Sans Serif"/>
      <family val="2"/>
    </font>
    <font>
      <u/>
      <sz val="10"/>
      <color theme="10"/>
      <name val="MS Sans Serif"/>
      <family val="2"/>
    </font>
    <font>
      <sz val="7"/>
      <name val="Arial"/>
      <family val="2"/>
    </font>
    <font>
      <sz val="10"/>
      <color indexed="8"/>
      <name val="MS Sans Serif"/>
      <family val="2"/>
    </font>
    <font>
      <sz val="8"/>
      <name val="Arial Narrow"/>
      <family val="2"/>
    </font>
    <font>
      <sz val="7"/>
      <color indexed="8"/>
      <name val="Arial"/>
      <family val="2"/>
    </font>
    <font>
      <b/>
      <sz val="7"/>
      <name val="Arial"/>
      <family val="2"/>
    </font>
    <font>
      <vertAlign val="superscript"/>
      <sz val="9"/>
      <name val="Arial Narrow"/>
      <family val="2"/>
    </font>
    <font>
      <sz val="9"/>
      <color indexed="8"/>
      <name val="Arial Narrow"/>
      <family val="2"/>
    </font>
    <font>
      <vertAlign val="superscript"/>
      <sz val="8"/>
      <name val="Arial Narrow"/>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50">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
      <patternFill patternType="solid">
        <fgColor indexed="43"/>
        <bgColor indexed="64"/>
      </patternFill>
    </fill>
    <fill>
      <patternFill patternType="solid">
        <fgColor rgb="FFFFFFCC"/>
      </patternFill>
    </fill>
    <fill>
      <patternFill patternType="solid">
        <fgColor indexed="47"/>
        <bgColor indexed="64"/>
      </patternFill>
    </fill>
    <fill>
      <patternFill patternType="solid">
        <fgColor indexed="60"/>
        <bgColor indexed="8"/>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0">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style="thin">
        <color rgb="FFB2B2B2"/>
      </left>
      <right style="thin">
        <color rgb="FFB2B2B2"/>
      </right>
      <top style="thin">
        <color rgb="FFB2B2B2"/>
      </top>
      <bottom style="thin">
        <color rgb="FFB2B2B2"/>
      </bottom>
      <diagonal/>
    </border>
    <border>
      <left/>
      <right style="thin">
        <color rgb="FF105A88"/>
      </right>
      <top/>
      <bottom style="thin">
        <color rgb="FF105A88"/>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105A88"/>
      </right>
      <top style="thin">
        <color indexed="64"/>
      </top>
      <bottom/>
      <diagonal/>
    </border>
    <border>
      <left style="thin">
        <color rgb="FF1E4B7D"/>
      </left>
      <right/>
      <top/>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rgb="FF1E4B7D"/>
      </top>
      <bottom/>
      <diagonal/>
    </border>
    <border>
      <left/>
      <right style="thin">
        <color indexed="64"/>
      </right>
      <top/>
      <bottom style="thin">
        <color rgb="FF1E4B7D"/>
      </bottom>
      <diagonal/>
    </border>
  </borders>
  <cellStyleXfs count="466">
    <xf numFmtId="0" fontId="0" fillId="0" borderId="0"/>
    <xf numFmtId="0" fontId="11" fillId="0" borderId="0"/>
    <xf numFmtId="0" fontId="12" fillId="0" borderId="0"/>
    <xf numFmtId="0" fontId="10" fillId="0" borderId="0"/>
    <xf numFmtId="0" fontId="9" fillId="0" borderId="0"/>
    <xf numFmtId="0" fontId="9" fillId="0" borderId="0" applyFill="0" applyAlignment="0"/>
    <xf numFmtId="0" fontId="23" fillId="0" borderId="0" applyFill="0" applyBorder="0" applyAlignment="0"/>
    <xf numFmtId="0" fontId="13" fillId="0" borderId="0" applyFill="0" applyBorder="0" applyAlignment="0"/>
    <xf numFmtId="0" fontId="24" fillId="0" borderId="0"/>
    <xf numFmtId="0" fontId="27" fillId="0" borderId="0" applyNumberFormat="0" applyFill="0" applyBorder="0" applyAlignment="0" applyProtection="0"/>
    <xf numFmtId="0" fontId="12" fillId="0" borderId="0"/>
    <xf numFmtId="0" fontId="37" fillId="0" borderId="0"/>
    <xf numFmtId="0" fontId="7" fillId="0" borderId="0"/>
    <xf numFmtId="0" fontId="7" fillId="0" borderId="0"/>
    <xf numFmtId="0" fontId="24" fillId="0" borderId="0"/>
    <xf numFmtId="0" fontId="7" fillId="0" borderId="0"/>
    <xf numFmtId="0" fontId="9" fillId="0" borderId="0"/>
    <xf numFmtId="0" fontId="12" fillId="0" borderId="0"/>
    <xf numFmtId="0" fontId="9" fillId="0" borderId="0"/>
    <xf numFmtId="0" fontId="9" fillId="0" borderId="0"/>
    <xf numFmtId="0" fontId="9" fillId="0" borderId="0"/>
    <xf numFmtId="0" fontId="6" fillId="0" borderId="0"/>
    <xf numFmtId="0" fontId="6" fillId="0" borderId="0"/>
    <xf numFmtId="0" fontId="6" fillId="0" borderId="0"/>
    <xf numFmtId="0" fontId="12" fillId="0" borderId="0"/>
    <xf numFmtId="0" fontId="9" fillId="0" borderId="0"/>
    <xf numFmtId="0" fontId="6" fillId="0" borderId="0"/>
    <xf numFmtId="0" fontId="6" fillId="0" borderId="0"/>
    <xf numFmtId="0" fontId="41" fillId="0" borderId="0"/>
    <xf numFmtId="0" fontId="6" fillId="0" borderId="0"/>
    <xf numFmtId="0" fontId="6" fillId="0" borderId="0"/>
    <xf numFmtId="0" fontId="6" fillId="0" borderId="0"/>
    <xf numFmtId="0" fontId="42" fillId="0" borderId="0" applyNumberFormat="0" applyFill="0" applyBorder="0" applyAlignment="0" applyProtection="0"/>
    <xf numFmtId="0" fontId="4" fillId="0" borderId="0"/>
    <xf numFmtId="0" fontId="4" fillId="0" borderId="0" applyFill="0" applyAlignment="0"/>
    <xf numFmtId="0" fontId="12" fillId="0" borderId="0"/>
    <xf numFmtId="0" fontId="4" fillId="0" borderId="0"/>
    <xf numFmtId="0" fontId="3" fillId="0" borderId="0"/>
    <xf numFmtId="0" fontId="3" fillId="0" borderId="0" applyFill="0" applyAlignment="0"/>
    <xf numFmtId="0" fontId="3" fillId="0" borderId="0"/>
    <xf numFmtId="0" fontId="44" fillId="0" borderId="0"/>
    <xf numFmtId="0" fontId="2" fillId="0" borderId="0"/>
    <xf numFmtId="0" fontId="2" fillId="0" borderId="0" applyFill="0" applyAlignment="0"/>
    <xf numFmtId="0" fontId="2" fillId="0" borderId="0"/>
    <xf numFmtId="0" fontId="2" fillId="0" borderId="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2" fillId="11"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3"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9" borderId="0" applyNumberFormat="0" applyBorder="0" applyAlignment="0" applyProtection="0"/>
    <xf numFmtId="0" fontId="51" fillId="18" borderId="0" applyNumberFormat="0" applyBorder="0" applyAlignment="0" applyProtection="0"/>
    <xf numFmtId="0" fontId="51" fillId="11"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10"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3" fillId="23" borderId="0" applyNumberFormat="0" applyBorder="0" applyAlignment="0" applyProtection="0"/>
    <xf numFmtId="0" fontId="53" fillId="15" borderId="0" applyNumberFormat="0" applyBorder="0" applyAlignment="0" applyProtection="0"/>
    <xf numFmtId="0" fontId="53" fillId="22" borderId="0" applyNumberFormat="0" applyBorder="0" applyAlignment="0" applyProtection="0"/>
    <xf numFmtId="0" fontId="53" fillId="11" borderId="0" applyNumberFormat="0" applyBorder="0" applyAlignment="0" applyProtection="0"/>
    <xf numFmtId="0" fontId="54" fillId="24"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54" fillId="28" borderId="0" applyNumberFormat="0" applyBorder="0" applyAlignment="0" applyProtection="0"/>
    <xf numFmtId="0" fontId="54" fillId="29" borderId="0" applyNumberFormat="0" applyBorder="0" applyAlignment="0" applyProtection="0"/>
    <xf numFmtId="0" fontId="54" fillId="30"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31" borderId="0" applyNumberFormat="0" applyBorder="0" applyAlignment="0" applyProtection="0"/>
    <xf numFmtId="1" fontId="55" fillId="6" borderId="0">
      <alignment horizontal="center" vertical="center"/>
    </xf>
    <xf numFmtId="0" fontId="56" fillId="0" borderId="7">
      <alignment horizontal="center" vertical="center"/>
      <protection locked="0"/>
    </xf>
    <xf numFmtId="0" fontId="12" fillId="0" borderId="0" applyNumberFormat="0" applyAlignment="0">
      <alignment horizontal="centerContinuous"/>
    </xf>
    <xf numFmtId="175" fontId="57" fillId="32" borderId="21" applyFont="0" applyBorder="0" applyAlignment="0">
      <alignment horizontal="right"/>
    </xf>
    <xf numFmtId="0" fontId="58" fillId="33" borderId="22" applyNumberFormat="0" applyAlignment="0" applyProtection="0"/>
    <xf numFmtId="176" fontId="43" fillId="0" borderId="0">
      <alignment horizontal="right"/>
    </xf>
    <xf numFmtId="177" fontId="43" fillId="0" borderId="0">
      <alignment horizontal="right"/>
    </xf>
    <xf numFmtId="0" fontId="59" fillId="33" borderId="23" applyNumberFormat="0" applyAlignment="0" applyProtection="0"/>
    <xf numFmtId="0" fontId="28" fillId="34" borderId="24"/>
    <xf numFmtId="0" fontId="60" fillId="35" borderId="25">
      <alignment horizontal="right" vertical="top" wrapText="1"/>
    </xf>
    <xf numFmtId="0" fontId="28" fillId="0" borderId="7"/>
    <xf numFmtId="0" fontId="61" fillId="36" borderId="0">
      <alignment horizontal="center"/>
    </xf>
    <xf numFmtId="0" fontId="62" fillId="36" borderId="0">
      <alignment horizontal="center" vertical="center"/>
    </xf>
    <xf numFmtId="0" fontId="12" fillId="37" borderId="0">
      <alignment horizontal="center" wrapText="1"/>
    </xf>
    <xf numFmtId="0" fontId="63" fillId="36" borderId="0">
      <alignment horizontal="center"/>
    </xf>
    <xf numFmtId="178" fontId="12" fillId="0" borderId="0" applyFont="0" applyFill="0" applyBorder="0" applyAlignment="0" applyProtection="0"/>
    <xf numFmtId="43"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0" fontId="24" fillId="2" borderId="7">
      <protection locked="0"/>
    </xf>
    <xf numFmtId="0" fontId="64" fillId="13" borderId="23" applyNumberFormat="0" applyAlignment="0" applyProtection="0"/>
    <xf numFmtId="0" fontId="65" fillId="32" borderId="0" applyNumberFormat="0" applyBorder="0" applyAlignment="0">
      <alignment horizontal="right"/>
    </xf>
    <xf numFmtId="169" fontId="66" fillId="36" borderId="0" applyBorder="0">
      <alignment horizontal="right" vertical="center"/>
      <protection locked="0"/>
    </xf>
    <xf numFmtId="0" fontId="67" fillId="0" borderId="26" applyNumberFormat="0" applyFill="0" applyAlignment="0" applyProtection="0"/>
    <xf numFmtId="0" fontId="68" fillId="0" borderId="0" applyNumberFormat="0" applyFill="0" applyBorder="0" applyAlignment="0" applyProtection="0"/>
    <xf numFmtId="0" fontId="69" fillId="2" borderId="24">
      <protection locked="0"/>
    </xf>
    <xf numFmtId="0" fontId="12" fillId="2" borderId="7"/>
    <xf numFmtId="0" fontId="12" fillId="36" borderId="0"/>
    <xf numFmtId="182" fontId="43" fillId="0" borderId="0" applyFont="0" applyFill="0" applyBorder="0" applyAlignment="0" applyProtection="0"/>
    <xf numFmtId="182" fontId="43" fillId="0" borderId="0" applyFont="0" applyFill="0" applyBorder="0" applyAlignment="0" applyProtection="0"/>
    <xf numFmtId="183" fontId="70" fillId="36" borderId="0">
      <alignment horizontal="center" vertical="center"/>
      <protection hidden="1"/>
    </xf>
    <xf numFmtId="184" fontId="71" fillId="0" borderId="7">
      <alignment horizontal="center" vertical="center"/>
      <protection locked="0"/>
    </xf>
    <xf numFmtId="169" fontId="72" fillId="8" borderId="0">
      <alignment horizontal="center" vertical="center"/>
    </xf>
    <xf numFmtId="183" fontId="71" fillId="0" borderId="7">
      <alignment horizontal="center" vertical="center"/>
      <protection locked="0"/>
    </xf>
    <xf numFmtId="185" fontId="71" fillId="0" borderId="7">
      <alignment horizontal="center" vertical="center"/>
      <protection locked="0"/>
    </xf>
    <xf numFmtId="186" fontId="71" fillId="0" borderId="7">
      <alignment horizontal="center" vertical="center"/>
      <protection locked="0"/>
    </xf>
    <xf numFmtId="0" fontId="70" fillId="36" borderId="7">
      <alignment horizontal="left"/>
    </xf>
    <xf numFmtId="0" fontId="12" fillId="2" borderId="7" applyNumberFormat="0" applyFont="0" applyAlignment="0">
      <protection locked="0"/>
    </xf>
    <xf numFmtId="0" fontId="12" fillId="2" borderId="7" applyNumberFormat="0" applyFont="0" applyAlignment="0">
      <protection locked="0"/>
    </xf>
    <xf numFmtId="0" fontId="73" fillId="38" borderId="0">
      <alignment horizontal="left" vertical="center" wrapText="1"/>
    </xf>
    <xf numFmtId="0" fontId="40" fillId="36" borderId="0">
      <alignment horizontal="left"/>
    </xf>
    <xf numFmtId="0" fontId="12" fillId="39" borderId="0" applyNumberFormat="0" applyFont="0" applyBorder="0" applyAlignment="0"/>
    <xf numFmtId="0" fontId="12" fillId="39" borderId="0" applyNumberFormat="0" applyFont="0" applyBorder="0" applyAlignment="0"/>
    <xf numFmtId="0" fontId="12" fillId="40" borderId="7" applyNumberFormat="0" applyFont="0" applyBorder="0" applyAlignment="0"/>
    <xf numFmtId="0" fontId="12" fillId="40" borderId="7" applyNumberFormat="0" applyFont="0" applyBorder="0" applyAlignment="0"/>
    <xf numFmtId="1" fontId="66" fillId="36" borderId="0" applyBorder="0">
      <alignment horizontal="right" vertical="center"/>
      <protection locked="0"/>
    </xf>
    <xf numFmtId="0" fontId="60" fillId="41" borderId="0">
      <alignment horizontal="right" vertical="top" wrapText="1"/>
    </xf>
    <xf numFmtId="0" fontId="74" fillId="15" borderId="0" applyNumberFormat="0" applyBorder="0" applyAlignment="0" applyProtection="0"/>
    <xf numFmtId="0" fontId="27" fillId="0" borderId="0" applyNumberFormat="0" applyFill="0" applyBorder="0" applyAlignment="0" applyProtection="0"/>
    <xf numFmtId="0" fontId="42" fillId="0" borderId="0" applyNumberFormat="0" applyFill="0" applyBorder="0" applyAlignment="0" applyProtection="0"/>
    <xf numFmtId="0" fontId="14" fillId="37" borderId="0">
      <alignment horizontal="center"/>
    </xf>
    <xf numFmtId="0" fontId="12" fillId="36" borderId="7">
      <alignment horizontal="centerContinuous" wrapText="1"/>
    </xf>
    <xf numFmtId="0" fontId="75" fillId="42" borderId="0">
      <alignment horizontal="center" wrapText="1"/>
    </xf>
    <xf numFmtId="43" fontId="24" fillId="0" borderId="0" applyFont="0" applyFill="0" applyBorder="0" applyAlignment="0" applyProtection="0"/>
    <xf numFmtId="49" fontId="76" fillId="38" borderId="27">
      <alignment horizontal="center" vertical="center" wrapText="1"/>
    </xf>
    <xf numFmtId="0" fontId="28" fillId="38" borderId="0" applyFont="0" applyAlignment="0"/>
    <xf numFmtId="0" fontId="28" fillId="36" borderId="28">
      <alignment wrapText="1"/>
    </xf>
    <xf numFmtId="0" fontId="28" fillId="36" borderId="8"/>
    <xf numFmtId="0" fontId="28" fillId="36" borderId="10"/>
    <xf numFmtId="0" fontId="28" fillId="36" borderId="10"/>
    <xf numFmtId="0" fontId="28" fillId="36" borderId="9">
      <alignment horizontal="center" wrapText="1"/>
    </xf>
    <xf numFmtId="178" fontId="12" fillId="0" borderId="0" applyFont="0" applyFill="0" applyBorder="0" applyAlignment="0" applyProtection="0"/>
    <xf numFmtId="0" fontId="77" fillId="19" borderId="0" applyNumberFormat="0" applyBorder="0" applyAlignment="0" applyProtection="0"/>
    <xf numFmtId="0" fontId="28" fillId="0" borderId="0"/>
    <xf numFmtId="0" fontId="78" fillId="39" borderId="29" applyNumberFormat="0" applyFont="0" applyAlignment="0" applyProtection="0"/>
    <xf numFmtId="0" fontId="6" fillId="7" borderId="12" applyNumberFormat="0" applyFont="0" applyAlignment="0" applyProtection="0"/>
    <xf numFmtId="0" fontId="6" fillId="7" borderId="12" applyNumberFormat="0" applyFont="0" applyAlignment="0" applyProtection="0"/>
    <xf numFmtId="187" fontId="79" fillId="0" borderId="0"/>
    <xf numFmtId="9" fontId="12" fillId="0" borderId="0" applyNumberFormat="0" applyFont="0" applyFill="0" applyBorder="0" applyAlignment="0" applyProtection="0"/>
    <xf numFmtId="188" fontId="43" fillId="0" borderId="0">
      <alignment horizontal="right"/>
    </xf>
    <xf numFmtId="0" fontId="28" fillId="36" borderId="7"/>
    <xf numFmtId="0" fontId="62" fillId="36" borderId="0">
      <alignment horizontal="right"/>
    </xf>
    <xf numFmtId="0" fontId="80" fillId="42" borderId="0">
      <alignment horizontal="center"/>
    </xf>
    <xf numFmtId="0" fontId="81" fillId="41" borderId="7">
      <alignment horizontal="left" vertical="top" wrapText="1"/>
    </xf>
    <xf numFmtId="0" fontId="82" fillId="41" borderId="17">
      <alignment horizontal="left" vertical="top" wrapText="1"/>
    </xf>
    <xf numFmtId="0" fontId="81" fillId="41" borderId="18">
      <alignment horizontal="left" vertical="top" wrapText="1"/>
    </xf>
    <xf numFmtId="0" fontId="81" fillId="41" borderId="17">
      <alignment horizontal="left" vertical="top"/>
    </xf>
    <xf numFmtId="0" fontId="83" fillId="14" borderId="0" applyNumberFormat="0" applyBorder="0" applyAlignment="0" applyProtection="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2" fillId="0" borderId="0"/>
    <xf numFmtId="0" fontId="6" fillId="0" borderId="0"/>
    <xf numFmtId="0" fontId="24" fillId="0" borderId="0"/>
    <xf numFmtId="0" fontId="6" fillId="0" borderId="0"/>
    <xf numFmtId="0" fontId="12" fillId="0" borderId="0"/>
    <xf numFmtId="0" fontId="12"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12"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2" fillId="0" borderId="0"/>
    <xf numFmtId="0" fontId="6" fillId="0" borderId="0"/>
    <xf numFmtId="0" fontId="6" fillId="0" borderId="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4" fillId="0" borderId="0"/>
    <xf numFmtId="0" fontId="6" fillId="0" borderId="0"/>
    <xf numFmtId="0" fontId="6" fillId="0" borderId="0"/>
    <xf numFmtId="0" fontId="12"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0" fillId="0" borderId="0">
      <alignment vertical="top"/>
    </xf>
    <xf numFmtId="49" fontId="84" fillId="43" borderId="30" applyFont="0" applyAlignment="0">
      <alignment horizontal="center" vertical="center" wrapText="1"/>
    </xf>
    <xf numFmtId="0" fontId="85" fillId="44" borderId="0"/>
    <xf numFmtId="0" fontId="85" fillId="44" borderId="0"/>
    <xf numFmtId="0" fontId="85" fillId="45" borderId="0"/>
    <xf numFmtId="189" fontId="85" fillId="45" borderId="0" applyFill="0" applyBorder="0" applyAlignment="0">
      <alignment horizontal="right"/>
    </xf>
    <xf numFmtId="190" fontId="85" fillId="45" borderId="0" applyFill="0" applyBorder="0" applyProtection="0">
      <alignment horizontal="right"/>
    </xf>
    <xf numFmtId="189" fontId="85" fillId="45" borderId="0" applyFill="0" applyBorder="0" applyProtection="0">
      <alignment horizontal="right"/>
    </xf>
    <xf numFmtId="190" fontId="85" fillId="45" borderId="0" applyFill="0" applyBorder="0" applyProtection="0">
      <alignment horizontal="right"/>
    </xf>
    <xf numFmtId="191" fontId="85" fillId="45" borderId="0" applyFill="0">
      <alignment horizontal="right"/>
    </xf>
    <xf numFmtId="192" fontId="85" fillId="45" borderId="0" applyFill="0" applyBorder="0" applyProtection="0">
      <alignment horizontal="right"/>
    </xf>
    <xf numFmtId="191" fontId="76" fillId="45" borderId="0" applyFill="0">
      <alignment horizontal="right"/>
    </xf>
    <xf numFmtId="0" fontId="61" fillId="36" borderId="0">
      <alignment horizontal="center"/>
    </xf>
    <xf numFmtId="0" fontId="76" fillId="38" borderId="0">
      <alignment horizontal="left" vertical="center"/>
    </xf>
    <xf numFmtId="0" fontId="76" fillId="46" borderId="0">
      <alignment horizontal="left" vertical="center"/>
    </xf>
    <xf numFmtId="0" fontId="76" fillId="47" borderId="0">
      <alignment horizontal="left" vertical="center"/>
    </xf>
    <xf numFmtId="0" fontId="76" fillId="45" borderId="0">
      <alignment horizontal="left" vertical="center"/>
    </xf>
    <xf numFmtId="49" fontId="85" fillId="48" borderId="31" applyBorder="0" applyAlignment="0">
      <alignment horizontal="center" vertical="center" wrapText="1"/>
    </xf>
    <xf numFmtId="0" fontId="38" fillId="36" borderId="0"/>
    <xf numFmtId="0" fontId="85" fillId="44" borderId="32">
      <alignment horizontal="center"/>
    </xf>
    <xf numFmtId="0" fontId="85" fillId="44" borderId="32">
      <alignment horizontal="center"/>
    </xf>
    <xf numFmtId="0" fontId="85" fillId="45" borderId="32">
      <alignment horizontal="center"/>
    </xf>
    <xf numFmtId="175" fontId="65" fillId="32" borderId="0" applyFont="0" applyBorder="0" applyAlignment="0">
      <alignment horizontal="right"/>
    </xf>
    <xf numFmtId="49" fontId="86" fillId="32" borderId="0" applyFont="0" applyFill="0" applyBorder="0" applyAlignment="0" applyProtection="0">
      <alignment horizontal="right"/>
    </xf>
    <xf numFmtId="0" fontId="87" fillId="0" borderId="33" applyNumberFormat="0" applyFill="0" applyAlignment="0" applyProtection="0"/>
    <xf numFmtId="0" fontId="88" fillId="0" borderId="34" applyNumberFormat="0" applyFill="0" applyAlignment="0" applyProtection="0"/>
    <xf numFmtId="0" fontId="89" fillId="0" borderId="35"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49" fontId="91" fillId="38" borderId="27">
      <alignment horizontal="center" vertical="center" wrapText="1"/>
    </xf>
    <xf numFmtId="0" fontId="85" fillId="47" borderId="0">
      <alignment horizontal="center"/>
    </xf>
    <xf numFmtId="0" fontId="92" fillId="0" borderId="36" applyNumberFormat="0" applyFill="0" applyAlignment="0" applyProtection="0"/>
    <xf numFmtId="0" fontId="93" fillId="0" borderId="0"/>
    <xf numFmtId="193" fontId="12" fillId="0" borderId="0" applyFont="0" applyFill="0" applyBorder="0" applyAlignment="0" applyProtection="0"/>
    <xf numFmtId="0" fontId="53" fillId="0" borderId="0" applyNumberFormat="0" applyFill="0" applyBorder="0" applyAlignment="0" applyProtection="0"/>
    <xf numFmtId="49" fontId="66" fillId="36" borderId="0" applyBorder="0" applyAlignment="0">
      <alignment horizontal="right"/>
      <protection locked="0"/>
    </xf>
    <xf numFmtId="49" fontId="55" fillId="6" borderId="0">
      <alignment horizontal="left" vertical="center"/>
    </xf>
    <xf numFmtId="49" fontId="71" fillId="0" borderId="7">
      <alignment horizontal="left" vertical="center"/>
      <protection locked="0"/>
    </xf>
    <xf numFmtId="194" fontId="79" fillId="0" borderId="11">
      <alignment horizontal="right"/>
    </xf>
    <xf numFmtId="195" fontId="79" fillId="0" borderId="11">
      <alignment horizontal="left"/>
    </xf>
    <xf numFmtId="0" fontId="94" fillId="49" borderId="37" applyNumberFormat="0" applyAlignment="0" applyProtection="0"/>
    <xf numFmtId="0" fontId="85" fillId="47" borderId="0">
      <alignment horizontal="center"/>
    </xf>
    <xf numFmtId="0" fontId="24" fillId="0" borderId="0"/>
    <xf numFmtId="0" fontId="2" fillId="0" borderId="0"/>
    <xf numFmtId="0" fontId="2" fillId="0" borderId="0"/>
    <xf numFmtId="0" fontId="2" fillId="0" borderId="0"/>
    <xf numFmtId="0" fontId="2" fillId="0" borderId="0"/>
  </cellStyleXfs>
  <cellXfs count="270">
    <xf numFmtId="0" fontId="0" fillId="0" borderId="0" xfId="0"/>
    <xf numFmtId="0" fontId="11" fillId="0" borderId="0" xfId="1"/>
    <xf numFmtId="0" fontId="9" fillId="0" borderId="0" xfId="4"/>
    <xf numFmtId="0" fontId="15" fillId="0" borderId="0" xfId="4" applyFont="1"/>
    <xf numFmtId="0" fontId="20" fillId="0" borderId="0" xfId="4" applyFont="1"/>
    <xf numFmtId="0" fontId="15" fillId="0" borderId="0" xfId="4" applyFont="1" applyAlignment="1">
      <alignment horizontal="right"/>
    </xf>
    <xf numFmtId="0" fontId="12" fillId="0" borderId="0" xfId="4" applyFont="1"/>
    <xf numFmtId="0" fontId="22" fillId="0" borderId="0" xfId="4" applyFont="1" applyAlignment="1">
      <alignment horizontal="center" wrapText="1"/>
    </xf>
    <xf numFmtId="0" fontId="9" fillId="0" borderId="0" xfId="4" applyAlignment="1">
      <alignment horizontal="left"/>
    </xf>
    <xf numFmtId="0" fontId="16" fillId="0" borderId="0" xfId="4" applyFont="1" applyAlignment="1">
      <alignment horizontal="left"/>
    </xf>
    <xf numFmtId="0" fontId="9" fillId="0" borderId="0" xfId="4" applyFont="1" applyAlignment="1">
      <alignment horizontal="left"/>
    </xf>
    <xf numFmtId="0" fontId="16" fillId="0" borderId="0" xfId="4" applyFont="1" applyAlignment="1">
      <alignment horizontal="left" wrapText="1"/>
    </xf>
    <xf numFmtId="0" fontId="9" fillId="0" borderId="0" xfId="4" applyAlignment="1">
      <alignment horizontal="left" wrapText="1"/>
    </xf>
    <xf numFmtId="0" fontId="9" fillId="0" borderId="0" xfId="4" applyFont="1" applyAlignment="1">
      <alignment horizontal="left" wrapText="1"/>
    </xf>
    <xf numFmtId="0" fontId="27" fillId="0" borderId="0" xfId="9" applyAlignment="1">
      <alignment horizontal="left"/>
    </xf>
    <xf numFmtId="0" fontId="9" fillId="0" borderId="0" xfId="4" applyFont="1"/>
    <xf numFmtId="0" fontId="9" fillId="0" borderId="0" xfId="4" applyAlignment="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4" fillId="0" borderId="0" xfId="0" applyFont="1" applyFill="1"/>
    <xf numFmtId="0" fontId="12" fillId="0" borderId="0" xfId="0" applyFont="1" applyFill="1"/>
    <xf numFmtId="0" fontId="12" fillId="0" borderId="0" xfId="0" applyFont="1" applyFill="1" applyBorder="1"/>
    <xf numFmtId="0" fontId="14" fillId="0" borderId="0" xfId="0" applyFont="1" applyFill="1" applyBorder="1"/>
    <xf numFmtId="0" fontId="13" fillId="0" borderId="0" xfId="0" applyFont="1" applyBorder="1" applyAlignment="1">
      <alignment horizontal="justify"/>
    </xf>
    <xf numFmtId="0" fontId="0" fillId="0" borderId="0" xfId="0" applyAlignment="1">
      <alignment vertical="center"/>
    </xf>
    <xf numFmtId="0" fontId="29" fillId="0" borderId="0" xfId="0" applyFont="1" applyAlignment="1">
      <alignment vertical="center"/>
    </xf>
    <xf numFmtId="0" fontId="9" fillId="0" borderId="0" xfId="4" applyFont="1" applyAlignment="1">
      <alignment horizontal="left" wrapText="1"/>
    </xf>
    <xf numFmtId="0" fontId="9" fillId="0" borderId="0" xfId="4" applyAlignment="1">
      <alignment horizontal="left" wrapText="1"/>
    </xf>
    <xf numFmtId="0" fontId="27" fillId="0" borderId="0" xfId="9" applyAlignment="1">
      <alignment horizontal="left" wrapText="1"/>
    </xf>
    <xf numFmtId="0" fontId="0" fillId="0" borderId="0" xfId="0" applyAlignment="1">
      <alignment horizontal="left"/>
    </xf>
    <xf numFmtId="0" fontId="12" fillId="0" borderId="0" xfId="0" quotePrefix="1" applyFont="1" applyAlignment="1">
      <alignment horizontal="left"/>
    </xf>
    <xf numFmtId="0" fontId="12" fillId="0" borderId="0" xfId="0" applyFont="1" applyAlignment="1">
      <alignment horizontal="left"/>
    </xf>
    <xf numFmtId="0" fontId="14" fillId="0" borderId="0" xfId="0" applyFont="1" applyAlignment="1">
      <alignment horizontal="left"/>
    </xf>
    <xf numFmtId="0" fontId="0" fillId="0" borderId="0" xfId="0" applyAlignment="1"/>
    <xf numFmtId="0" fontId="8" fillId="0" borderId="0" xfId="1" applyFont="1"/>
    <xf numFmtId="0" fontId="8" fillId="0" borderId="0" xfId="1" applyFont="1" applyAlignment="1">
      <alignment horizontal="right" vertical="center"/>
    </xf>
    <xf numFmtId="0" fontId="8" fillId="0" borderId="0" xfId="1" applyFont="1" applyAlignment="1">
      <alignment horizontal="right"/>
    </xf>
    <xf numFmtId="0" fontId="31" fillId="0" borderId="0" xfId="1" applyFont="1" applyAlignment="1">
      <alignment horizontal="center" vertical="center"/>
    </xf>
    <xf numFmtId="0" fontId="8" fillId="0" borderId="0" xfId="1" applyFont="1" applyAlignment="1">
      <alignment horizontal="left" vertical="center"/>
    </xf>
    <xf numFmtId="0" fontId="31" fillId="0" borderId="0" xfId="1" applyFont="1" applyAlignment="1">
      <alignment horizontal="left" vertical="center"/>
    </xf>
    <xf numFmtId="165" fontId="8" fillId="0" borderId="0" xfId="1" applyNumberFormat="1" applyFont="1" applyAlignment="1">
      <alignment horizontal="left" vertical="center" wrapText="1"/>
    </xf>
    <xf numFmtId="0" fontId="8" fillId="0" borderId="0" xfId="1" applyFont="1" applyAlignment="1">
      <alignment horizontal="left" vertical="center" wrapText="1"/>
    </xf>
    <xf numFmtId="165" fontId="8" fillId="0" borderId="0" xfId="1" applyNumberFormat="1" applyFont="1" applyAlignment="1">
      <alignment horizontal="left" vertical="center"/>
    </xf>
    <xf numFmtId="165" fontId="8" fillId="0" borderId="0" xfId="1" applyNumberFormat="1" applyFont="1" applyAlignment="1">
      <alignment horizontal="center" vertical="center"/>
    </xf>
    <xf numFmtId="0" fontId="8" fillId="0" borderId="0" xfId="1" applyFont="1" applyAlignment="1">
      <alignment vertical="top"/>
    </xf>
    <xf numFmtId="0" fontId="31" fillId="0" borderId="0" xfId="1" applyFont="1" applyAlignment="1">
      <alignment horizontal="left" vertical="top"/>
    </xf>
    <xf numFmtId="167" fontId="34" fillId="0" borderId="0" xfId="0" applyNumberFormat="1" applyFont="1" applyFill="1" applyBorder="1" applyAlignment="1">
      <alignment horizontal="right"/>
    </xf>
    <xf numFmtId="49" fontId="34" fillId="0" borderId="0" xfId="0" applyNumberFormat="1" applyFont="1" applyFill="1" applyBorder="1" applyAlignment="1">
      <alignment horizontal="left" vertical="top"/>
    </xf>
    <xf numFmtId="167" fontId="33" fillId="0" borderId="0" xfId="0" applyNumberFormat="1" applyFont="1" applyFill="1" applyBorder="1" applyAlignment="1">
      <alignment horizontal="right"/>
    </xf>
    <xf numFmtId="168" fontId="33" fillId="0" borderId="0" xfId="0" applyNumberFormat="1" applyFont="1" applyFill="1" applyBorder="1" applyAlignment="1">
      <alignment horizontal="right" vertical="center"/>
    </xf>
    <xf numFmtId="49" fontId="33" fillId="0" borderId="0" xfId="0" applyNumberFormat="1" applyFont="1" applyFill="1" applyBorder="1" applyAlignment="1">
      <alignment horizontal="left" vertical="top"/>
    </xf>
    <xf numFmtId="49" fontId="34" fillId="3" borderId="2" xfId="0" applyNumberFormat="1" applyFont="1" applyFill="1" applyBorder="1" applyAlignment="1">
      <alignment horizontal="centerContinuous" vertical="center" wrapText="1"/>
    </xf>
    <xf numFmtId="0" fontId="33" fillId="0" borderId="4" xfId="0" applyFont="1" applyFill="1" applyBorder="1" applyAlignment="1">
      <alignment vertical="top" wrapText="1"/>
    </xf>
    <xf numFmtId="0" fontId="34" fillId="0" borderId="0" xfId="0" applyFont="1" applyFill="1"/>
    <xf numFmtId="0" fontId="34" fillId="3" borderId="2" xfId="0" applyFont="1" applyFill="1" applyBorder="1" applyAlignment="1">
      <alignment horizontal="center" vertical="center"/>
    </xf>
    <xf numFmtId="0" fontId="34" fillId="3" borderId="2" xfId="0"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49" fontId="33" fillId="0" borderId="0" xfId="0" applyNumberFormat="1" applyFont="1" applyFill="1" applyBorder="1" applyAlignment="1"/>
    <xf numFmtId="49" fontId="33" fillId="0" borderId="4" xfId="0" applyNumberFormat="1" applyFont="1" applyFill="1" applyBorder="1" applyAlignment="1"/>
    <xf numFmtId="49" fontId="33" fillId="0" borderId="0" xfId="0" applyNumberFormat="1" applyFont="1" applyFill="1" applyBorder="1" applyAlignment="1">
      <alignment horizontal="left"/>
    </xf>
    <xf numFmtId="0" fontId="33" fillId="0" borderId="4" xfId="0" applyFont="1" applyFill="1" applyBorder="1" applyAlignment="1">
      <alignment horizontal="left" wrapText="1"/>
    </xf>
    <xf numFmtId="49" fontId="34" fillId="0" borderId="0" xfId="0" applyNumberFormat="1" applyFont="1" applyFill="1" applyBorder="1" applyAlignment="1">
      <alignment horizontal="left"/>
    </xf>
    <xf numFmtId="49" fontId="34" fillId="0" borderId="4" xfId="0" applyNumberFormat="1" applyFont="1" applyFill="1" applyBorder="1" applyAlignment="1"/>
    <xf numFmtId="0" fontId="34" fillId="0" borderId="4" xfId="0" applyFont="1" applyFill="1" applyBorder="1" applyAlignment="1">
      <alignment wrapText="1"/>
    </xf>
    <xf numFmtId="49" fontId="34" fillId="0" borderId="0" xfId="0" applyNumberFormat="1" applyFont="1" applyFill="1" applyBorder="1" applyAlignment="1"/>
    <xf numFmtId="0" fontId="33" fillId="0" borderId="4" xfId="0" applyFont="1" applyFill="1" applyBorder="1" applyAlignment="1">
      <alignment wrapText="1"/>
    </xf>
    <xf numFmtId="49" fontId="34" fillId="0" borderId="4" xfId="0" applyNumberFormat="1" applyFont="1" applyFill="1" applyBorder="1" applyAlignment="1">
      <alignment horizontal="left"/>
    </xf>
    <xf numFmtId="49" fontId="33" fillId="0" borderId="0" xfId="0" applyNumberFormat="1" applyFont="1" applyFill="1" applyBorder="1" applyAlignment="1">
      <alignment horizontal="left" wrapText="1"/>
    </xf>
    <xf numFmtId="49" fontId="33" fillId="0" borderId="5" xfId="0" applyNumberFormat="1" applyFont="1" applyFill="1" applyBorder="1" applyAlignment="1">
      <alignment horizontal="left"/>
    </xf>
    <xf numFmtId="49" fontId="33" fillId="0" borderId="4" xfId="0" applyNumberFormat="1" applyFont="1" applyFill="1" applyBorder="1" applyAlignment="1">
      <alignment horizontal="left"/>
    </xf>
    <xf numFmtId="0" fontId="34" fillId="0" borderId="4" xfId="0" applyFont="1" applyFill="1" applyBorder="1" applyAlignment="1">
      <alignment horizontal="left" wrapText="1"/>
    </xf>
    <xf numFmtId="0" fontId="33" fillId="0" borderId="6" xfId="0" applyFont="1" applyFill="1" applyBorder="1" applyAlignment="1">
      <alignment wrapText="1"/>
    </xf>
    <xf numFmtId="0" fontId="34" fillId="0" borderId="0" xfId="10" applyFont="1" applyFill="1" applyBorder="1" applyAlignment="1">
      <alignment horizontal="right" indent="1"/>
    </xf>
    <xf numFmtId="167" fontId="34" fillId="0" borderId="0" xfId="0" applyNumberFormat="1" applyFont="1" applyFill="1" applyBorder="1" applyAlignment="1">
      <alignment horizontal="right" indent="1"/>
    </xf>
    <xf numFmtId="164" fontId="34" fillId="0" borderId="0" xfId="10" applyNumberFormat="1" applyFont="1" applyFill="1" applyBorder="1" applyAlignment="1">
      <alignment horizontal="right" indent="1"/>
    </xf>
    <xf numFmtId="166" fontId="34" fillId="0" borderId="0" xfId="10" applyNumberFormat="1" applyFont="1" applyFill="1" applyBorder="1" applyAlignment="1">
      <alignment horizontal="right" indent="1"/>
    </xf>
    <xf numFmtId="168" fontId="34" fillId="0" borderId="0" xfId="0" applyNumberFormat="1" applyFont="1" applyFill="1" applyBorder="1" applyAlignment="1">
      <alignment horizontal="right" indent="1"/>
    </xf>
    <xf numFmtId="0" fontId="33" fillId="2" borderId="0" xfId="0" applyFont="1" applyFill="1" applyBorder="1" applyAlignment="1">
      <alignment horizontal="centerContinuous" vertical="top" wrapText="1"/>
    </xf>
    <xf numFmtId="49" fontId="34" fillId="0" borderId="0" xfId="0" applyNumberFormat="1" applyFont="1" applyFill="1" applyAlignment="1">
      <alignment horizontal="left"/>
    </xf>
    <xf numFmtId="0" fontId="34" fillId="0" borderId="0" xfId="0" applyFont="1" applyFill="1" applyAlignment="1">
      <alignment horizontal="right"/>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wrapText="1"/>
    </xf>
    <xf numFmtId="49" fontId="34" fillId="5" borderId="2" xfId="0" applyNumberFormat="1" applyFont="1" applyFill="1" applyBorder="1" applyAlignment="1">
      <alignment horizontal="center" vertical="center"/>
    </xf>
    <xf numFmtId="49" fontId="33" fillId="0" borderId="5" xfId="0" applyNumberFormat="1" applyFont="1" applyFill="1" applyBorder="1" applyAlignment="1">
      <alignment horizontal="left" vertical="top"/>
    </xf>
    <xf numFmtId="0" fontId="33" fillId="0" borderId="6" xfId="0" applyFont="1" applyFill="1" applyBorder="1" applyAlignment="1">
      <alignment vertical="top" wrapText="1"/>
    </xf>
    <xf numFmtId="0" fontId="13" fillId="4" borderId="2" xfId="0" applyFont="1" applyFill="1" applyBorder="1" applyAlignment="1">
      <alignment horizontal="center" vertical="center" wrapText="1"/>
    </xf>
    <xf numFmtId="0" fontId="13" fillId="4" borderId="3" xfId="0" applyFont="1" applyFill="1" applyBorder="1" applyAlignment="1">
      <alignment horizontal="center" vertical="center" wrapText="1"/>
    </xf>
    <xf numFmtId="169" fontId="13" fillId="0" borderId="4" xfId="0" applyNumberFormat="1" applyFont="1" applyFill="1" applyBorder="1" applyAlignment="1">
      <alignment horizontal="right" vertical="top"/>
    </xf>
    <xf numFmtId="169" fontId="13" fillId="0" borderId="0" xfId="0" applyNumberFormat="1" applyFont="1" applyFill="1" applyAlignment="1">
      <alignment horizontal="right" vertical="top"/>
    </xf>
    <xf numFmtId="167" fontId="13" fillId="0" borderId="4" xfId="0" applyNumberFormat="1" applyFont="1" applyFill="1" applyBorder="1" applyAlignment="1">
      <alignment horizontal="left"/>
    </xf>
    <xf numFmtId="0" fontId="18" fillId="0" borderId="4" xfId="0" applyFont="1" applyFill="1" applyBorder="1" applyAlignment="1">
      <alignment horizontal="left"/>
    </xf>
    <xf numFmtId="171" fontId="13" fillId="0" borderId="4" xfId="0" applyNumberFormat="1" applyFont="1" applyFill="1" applyBorder="1" applyAlignment="1">
      <alignment horizontal="left"/>
    </xf>
    <xf numFmtId="0" fontId="18" fillId="0" borderId="4" xfId="0" applyFont="1" applyFill="1" applyBorder="1" applyAlignment="1">
      <alignment horizontal="left" vertical="center"/>
    </xf>
    <xf numFmtId="0" fontId="9" fillId="0" borderId="0" xfId="4" applyAlignment="1">
      <alignment horizontal="left" vertical="center"/>
    </xf>
    <xf numFmtId="0" fontId="16" fillId="0" borderId="0" xfId="0" applyFont="1" applyBorder="1" applyAlignment="1">
      <alignment horizontal="left"/>
    </xf>
    <xf numFmtId="0" fontId="0" fillId="0" borderId="0" xfId="0" applyBorder="1" applyAlignment="1">
      <alignment horizontal="left"/>
    </xf>
    <xf numFmtId="0" fontId="9" fillId="0" borderId="0" xfId="4" applyBorder="1" applyAlignment="1">
      <alignment horizontal="left"/>
    </xf>
    <xf numFmtId="0" fontId="8" fillId="0" borderId="0" xfId="1" applyFont="1" applyBorder="1" applyAlignment="1">
      <alignment horizontal="left"/>
    </xf>
    <xf numFmtId="0" fontId="8" fillId="0" borderId="0" xfId="1" applyFont="1" applyBorder="1"/>
    <xf numFmtId="0" fontId="11" fillId="0" borderId="0" xfId="1" applyBorder="1"/>
    <xf numFmtId="0" fontId="0" fillId="0" borderId="0" xfId="0" applyBorder="1"/>
    <xf numFmtId="170" fontId="28" fillId="0" borderId="0" xfId="0" applyNumberFormat="1" applyFont="1" applyBorder="1" applyAlignment="1">
      <alignment horizontal="left"/>
    </xf>
    <xf numFmtId="172" fontId="33" fillId="0" borderId="0" xfId="0" applyNumberFormat="1" applyFont="1" applyFill="1" applyBorder="1" applyAlignment="1">
      <alignment horizontal="right" vertical="center"/>
    </xf>
    <xf numFmtId="172" fontId="34" fillId="5" borderId="2" xfId="0" applyNumberFormat="1" applyFont="1" applyFill="1" applyBorder="1" applyAlignment="1">
      <alignment horizontal="center" vertical="center"/>
    </xf>
    <xf numFmtId="172" fontId="34" fillId="5" borderId="2" xfId="0" applyNumberFormat="1" applyFont="1" applyFill="1" applyBorder="1" applyAlignment="1">
      <alignment horizontal="center" vertical="center" wrapText="1"/>
    </xf>
    <xf numFmtId="172" fontId="33" fillId="2" borderId="0" xfId="0" applyNumberFormat="1" applyFont="1" applyFill="1" applyBorder="1" applyAlignment="1">
      <alignment horizontal="centerContinuous" vertical="top" wrapText="1"/>
    </xf>
    <xf numFmtId="172" fontId="34" fillId="0" borderId="0" xfId="0" applyNumberFormat="1" applyFont="1" applyFill="1" applyAlignment="1">
      <alignment horizontal="right"/>
    </xf>
    <xf numFmtId="172" fontId="34" fillId="2" borderId="0" xfId="0" applyNumberFormat="1" applyFont="1" applyFill="1" applyBorder="1" applyAlignment="1">
      <alignment horizontal="centerContinuous" vertical="top" wrapText="1"/>
    </xf>
    <xf numFmtId="172" fontId="34" fillId="0" borderId="0" xfId="0" applyNumberFormat="1" applyFont="1" applyFill="1" applyBorder="1" applyAlignment="1">
      <alignment horizontal="right" vertical="center"/>
    </xf>
    <xf numFmtId="172" fontId="34" fillId="0" borderId="0" xfId="0" applyNumberFormat="1" applyFont="1" applyFill="1"/>
    <xf numFmtId="0" fontId="25" fillId="0" borderId="0" xfId="4" applyFont="1" applyAlignment="1">
      <alignment horizontal="left"/>
    </xf>
    <xf numFmtId="173" fontId="33" fillId="0" borderId="0" xfId="0" applyNumberFormat="1" applyFont="1" applyFill="1" applyBorder="1" applyAlignment="1">
      <alignment horizontal="right" indent="1"/>
    </xf>
    <xf numFmtId="173" fontId="34" fillId="0" borderId="0" xfId="0" applyNumberFormat="1" applyFont="1" applyFill="1" applyBorder="1" applyAlignment="1">
      <alignment horizontal="right" indent="1"/>
    </xf>
    <xf numFmtId="0" fontId="5" fillId="0" borderId="0" xfId="1" applyFont="1" applyAlignment="1">
      <alignment horizontal="left" vertical="center" wrapText="1"/>
    </xf>
    <xf numFmtId="0" fontId="12" fillId="0" borderId="0" xfId="0" applyFont="1"/>
    <xf numFmtId="168" fontId="33" fillId="0" borderId="4" xfId="0" applyNumberFormat="1" applyFont="1" applyFill="1" applyBorder="1" applyAlignment="1">
      <alignment horizontal="right" vertical="center"/>
    </xf>
    <xf numFmtId="0" fontId="34" fillId="4" borderId="2" xfId="2" applyFont="1" applyFill="1" applyBorder="1" applyAlignment="1">
      <alignment horizontal="center" vertical="center" wrapText="1"/>
    </xf>
    <xf numFmtId="0" fontId="34" fillId="4" borderId="3" xfId="2" applyFont="1" applyFill="1" applyBorder="1" applyAlignment="1">
      <alignment horizontal="center" vertical="center"/>
    </xf>
    <xf numFmtId="0" fontId="12" fillId="0" borderId="0" xfId="2"/>
    <xf numFmtId="0" fontId="34" fillId="4" borderId="3" xfId="2" applyFont="1" applyFill="1" applyBorder="1" applyAlignment="1">
      <alignment horizontal="center" vertical="center" wrapText="1"/>
    </xf>
    <xf numFmtId="0" fontId="12" fillId="0" borderId="0" xfId="2" applyAlignment="1">
      <alignment vertical="center"/>
    </xf>
    <xf numFmtId="0" fontId="49" fillId="0" borderId="4" xfId="2" applyFont="1" applyFill="1" applyBorder="1" applyAlignment="1">
      <alignment horizontal="left" wrapText="1"/>
    </xf>
    <xf numFmtId="0" fontId="24" fillId="0" borderId="0" xfId="8" applyFill="1"/>
    <xf numFmtId="0" fontId="43" fillId="0" borderId="0" xfId="8" applyFont="1"/>
    <xf numFmtId="0" fontId="24" fillId="0" borderId="0" xfId="8"/>
    <xf numFmtId="0" fontId="43" fillId="0" borderId="0" xfId="8" applyFont="1" applyAlignment="1">
      <alignment horizontal="right"/>
    </xf>
    <xf numFmtId="0" fontId="46" fillId="0" borderId="0" xfId="8" applyFont="1" applyFill="1" applyAlignment="1">
      <alignment vertical="center"/>
    </xf>
    <xf numFmtId="0" fontId="43" fillId="0" borderId="17" xfId="8" applyFont="1" applyFill="1" applyBorder="1" applyAlignment="1">
      <alignment horizontal="centerContinuous"/>
    </xf>
    <xf numFmtId="0" fontId="43" fillId="0" borderId="18" xfId="8" applyFont="1" applyFill="1" applyBorder="1" applyAlignment="1">
      <alignment horizontal="centerContinuous"/>
    </xf>
    <xf numFmtId="3" fontId="43" fillId="0" borderId="0" xfId="8" applyNumberFormat="1" applyFont="1" applyFill="1"/>
    <xf numFmtId="172" fontId="43" fillId="0" borderId="0" xfId="8" applyNumberFormat="1" applyFont="1" applyAlignment="1">
      <alignment horizontal="center"/>
    </xf>
    <xf numFmtId="0" fontId="43" fillId="0" borderId="0" xfId="8" quotePrefix="1" applyFont="1" applyAlignment="1">
      <alignment horizontal="right"/>
    </xf>
    <xf numFmtId="0" fontId="47" fillId="0" borderId="0" xfId="8" applyFont="1"/>
    <xf numFmtId="0" fontId="40" fillId="0" borderId="0" xfId="8" applyFont="1" applyFill="1"/>
    <xf numFmtId="0" fontId="40" fillId="0" borderId="0" xfId="8" applyFont="1" applyFill="1" applyAlignment="1">
      <alignment horizontal="center"/>
    </xf>
    <xf numFmtId="0" fontId="40" fillId="0" borderId="0" xfId="8" applyFont="1"/>
    <xf numFmtId="0" fontId="39" fillId="0" borderId="0" xfId="8" applyFont="1" applyFill="1" applyAlignment="1">
      <alignment horizontal="center" wrapText="1"/>
    </xf>
    <xf numFmtId="174" fontId="34" fillId="0" borderId="4" xfId="2" applyNumberFormat="1" applyFont="1" applyFill="1" applyBorder="1" applyAlignment="1">
      <alignment horizontal="left"/>
    </xf>
    <xf numFmtId="0" fontId="49" fillId="0" borderId="4" xfId="2" applyFont="1" applyFill="1" applyBorder="1" applyAlignment="1">
      <alignment horizontal="left"/>
    </xf>
    <xf numFmtId="0" fontId="13" fillId="0" borderId="0" xfId="2" applyFont="1"/>
    <xf numFmtId="0" fontId="34" fillId="0" borderId="4" xfId="2" applyFont="1" applyFill="1" applyBorder="1" applyAlignment="1">
      <alignment horizontal="left"/>
    </xf>
    <xf numFmtId="0" fontId="13" fillId="0" borderId="0" xfId="2" applyFont="1" applyBorder="1" applyAlignment="1">
      <alignment horizontal="center"/>
    </xf>
    <xf numFmtId="169" fontId="13" fillId="0" borderId="0" xfId="2" applyNumberFormat="1" applyFont="1"/>
    <xf numFmtId="170" fontId="28" fillId="0" borderId="0" xfId="2" applyNumberFormat="1" applyFont="1" applyAlignment="1"/>
    <xf numFmtId="0" fontId="28" fillId="0" borderId="0" xfId="8" applyFont="1" applyAlignment="1">
      <alignment horizontal="center"/>
    </xf>
    <xf numFmtId="0" fontId="28" fillId="0" borderId="0" xfId="8" applyFont="1"/>
    <xf numFmtId="0" fontId="14" fillId="0" borderId="0" xfId="8" applyFont="1" applyAlignment="1">
      <alignment horizontal="center" wrapText="1"/>
    </xf>
    <xf numFmtId="0" fontId="38" fillId="0" borderId="0" xfId="8" applyFont="1" applyAlignment="1">
      <alignment horizontal="center"/>
    </xf>
    <xf numFmtId="0" fontId="28" fillId="0" borderId="0" xfId="8" applyFont="1" applyAlignment="1"/>
    <xf numFmtId="0" fontId="16" fillId="0" borderId="0" xfId="1" applyFont="1" applyAlignment="1">
      <alignment horizontal="left" vertical="center"/>
    </xf>
    <xf numFmtId="0" fontId="13" fillId="0" borderId="38" xfId="0" applyFont="1" applyBorder="1" applyAlignment="1">
      <alignment horizontal="center"/>
    </xf>
    <xf numFmtId="170" fontId="13" fillId="0" borderId="38" xfId="0" applyNumberFormat="1" applyFont="1" applyBorder="1"/>
    <xf numFmtId="0" fontId="16" fillId="0" borderId="0" xfId="1" applyFont="1" applyAlignment="1">
      <alignment horizontal="left" vertical="center"/>
    </xf>
    <xf numFmtId="0" fontId="28" fillId="45" borderId="0" xfId="8" applyNumberFormat="1" applyFont="1" applyFill="1" applyAlignment="1">
      <alignment horizontal="center" vertical="top" wrapText="1"/>
    </xf>
    <xf numFmtId="0" fontId="28" fillId="45" borderId="4" xfId="8" applyNumberFormat="1" applyFont="1" applyFill="1" applyBorder="1" applyAlignment="1">
      <alignment horizontal="center" vertical="top" wrapText="1"/>
    </xf>
    <xf numFmtId="0" fontId="33" fillId="0" borderId="4" xfId="0" applyFont="1" applyFill="1" applyBorder="1" applyAlignment="1">
      <alignment horizontal="left"/>
    </xf>
    <xf numFmtId="196" fontId="33" fillId="0" borderId="0" xfId="10" applyNumberFormat="1" applyFont="1" applyFill="1" applyBorder="1" applyAlignment="1">
      <alignment horizontal="right" indent="1"/>
    </xf>
    <xf numFmtId="197" fontId="33" fillId="0" borderId="0" xfId="10" applyNumberFormat="1" applyFont="1" applyFill="1" applyBorder="1" applyAlignment="1">
      <alignment horizontal="right" indent="1"/>
    </xf>
    <xf numFmtId="198" fontId="33" fillId="0" borderId="0" xfId="0" applyNumberFormat="1" applyFont="1" applyFill="1" applyBorder="1" applyAlignment="1">
      <alignment horizontal="right" indent="1"/>
    </xf>
    <xf numFmtId="196" fontId="33" fillId="0" borderId="0" xfId="0" applyNumberFormat="1" applyFont="1" applyFill="1" applyBorder="1" applyAlignment="1">
      <alignment horizontal="right" indent="1"/>
    </xf>
    <xf numFmtId="197" fontId="33" fillId="0" borderId="0" xfId="0" applyNumberFormat="1" applyFont="1" applyFill="1" applyBorder="1" applyAlignment="1">
      <alignment horizontal="right" indent="1"/>
    </xf>
    <xf numFmtId="196" fontId="34" fillId="0" borderId="0" xfId="10" applyNumberFormat="1" applyFont="1" applyFill="1" applyBorder="1" applyAlignment="1">
      <alignment horizontal="right" indent="1"/>
    </xf>
    <xf numFmtId="196" fontId="34" fillId="0" borderId="0" xfId="0" applyNumberFormat="1" applyFont="1" applyFill="1" applyBorder="1" applyAlignment="1">
      <alignment horizontal="right" indent="1"/>
    </xf>
    <xf numFmtId="197" fontId="34" fillId="0" borderId="0" xfId="10" applyNumberFormat="1" applyFont="1" applyFill="1" applyBorder="1" applyAlignment="1">
      <alignment horizontal="right" indent="1"/>
    </xf>
    <xf numFmtId="198" fontId="34" fillId="0" borderId="0" xfId="0" applyNumberFormat="1" applyFont="1" applyFill="1" applyBorder="1" applyAlignment="1">
      <alignment horizontal="right" indent="1"/>
    </xf>
    <xf numFmtId="197" fontId="34" fillId="0" borderId="0" xfId="0" applyNumberFormat="1" applyFont="1" applyFill="1" applyBorder="1" applyAlignment="1">
      <alignment horizontal="right" indent="1"/>
    </xf>
    <xf numFmtId="197" fontId="34" fillId="0" borderId="0" xfId="0" applyNumberFormat="1" applyFont="1" applyAlignment="1">
      <alignment horizontal="right" indent="1"/>
    </xf>
    <xf numFmtId="198" fontId="34" fillId="0" borderId="0" xfId="10" applyNumberFormat="1" applyFont="1" applyFill="1" applyBorder="1" applyAlignment="1">
      <alignment horizontal="right" indent="1"/>
    </xf>
    <xf numFmtId="196" fontId="33" fillId="0" borderId="0" xfId="2" applyNumberFormat="1" applyFont="1" applyFill="1" applyBorder="1" applyAlignment="1">
      <alignment horizontal="right" indent="1"/>
    </xf>
    <xf numFmtId="197" fontId="33" fillId="0" borderId="0" xfId="2" applyNumberFormat="1" applyFont="1" applyFill="1" applyBorder="1" applyAlignment="1">
      <alignment horizontal="right" indent="1"/>
    </xf>
    <xf numFmtId="198" fontId="33" fillId="0" borderId="0" xfId="2" applyNumberFormat="1" applyFont="1" applyFill="1" applyBorder="1" applyAlignment="1">
      <alignment horizontal="right" indent="1"/>
    </xf>
    <xf numFmtId="196" fontId="33" fillId="0" borderId="5" xfId="10" applyNumberFormat="1" applyFont="1" applyFill="1" applyBorder="1" applyAlignment="1">
      <alignment horizontal="right" indent="1"/>
    </xf>
    <xf numFmtId="197" fontId="33" fillId="0" borderId="5" xfId="10" applyNumberFormat="1" applyFont="1" applyFill="1" applyBorder="1" applyAlignment="1">
      <alignment horizontal="right" indent="1"/>
    </xf>
    <xf numFmtId="198" fontId="33" fillId="0" borderId="5" xfId="0" applyNumberFormat="1" applyFont="1" applyFill="1" applyBorder="1" applyAlignment="1">
      <alignment horizontal="right" indent="1"/>
    </xf>
    <xf numFmtId="197" fontId="33" fillId="0" borderId="5" xfId="0" applyNumberFormat="1" applyFont="1" applyFill="1" applyBorder="1" applyAlignment="1">
      <alignment horizontal="right" indent="1"/>
    </xf>
    <xf numFmtId="198" fontId="33" fillId="0" borderId="0" xfId="2" applyNumberFormat="1" applyFont="1" applyFill="1" applyBorder="1" applyAlignment="1">
      <alignment horizontal="right"/>
    </xf>
    <xf numFmtId="199" fontId="33" fillId="0" borderId="0" xfId="2" applyNumberFormat="1" applyFont="1" applyFill="1" applyBorder="1" applyAlignment="1">
      <alignment horizontal="right"/>
    </xf>
    <xf numFmtId="198" fontId="33" fillId="0" borderId="0" xfId="0" applyNumberFormat="1" applyFont="1" applyFill="1" applyBorder="1" applyAlignment="1">
      <alignment horizontal="right"/>
    </xf>
    <xf numFmtId="199" fontId="33" fillId="0" borderId="0" xfId="0" applyNumberFormat="1" applyFont="1" applyFill="1" applyBorder="1" applyAlignment="1">
      <alignment horizontal="right"/>
    </xf>
    <xf numFmtId="198" fontId="34" fillId="0" borderId="0" xfId="0" applyNumberFormat="1" applyFont="1" applyFill="1" applyBorder="1" applyAlignment="1">
      <alignment horizontal="right"/>
    </xf>
    <xf numFmtId="199" fontId="34" fillId="0" borderId="0" xfId="0" applyNumberFormat="1" applyFont="1" applyFill="1" applyBorder="1" applyAlignment="1">
      <alignment horizontal="right"/>
    </xf>
    <xf numFmtId="198" fontId="33" fillId="0" borderId="5" xfId="0" applyNumberFormat="1" applyFont="1" applyFill="1" applyBorder="1" applyAlignment="1">
      <alignment horizontal="right"/>
    </xf>
    <xf numFmtId="199" fontId="33" fillId="0" borderId="5" xfId="0" applyNumberFormat="1" applyFont="1" applyFill="1" applyBorder="1" applyAlignment="1">
      <alignment horizontal="right"/>
    </xf>
    <xf numFmtId="196" fontId="13" fillId="0" borderId="0" xfId="0" applyNumberFormat="1" applyFont="1" applyFill="1" applyBorder="1" applyAlignment="1">
      <alignment horizontal="right" indent="2"/>
    </xf>
    <xf numFmtId="199" fontId="13" fillId="0" borderId="0" xfId="0" applyNumberFormat="1" applyFont="1" applyFill="1" applyBorder="1" applyAlignment="1">
      <alignment horizontal="right" indent="2"/>
    </xf>
    <xf numFmtId="196" fontId="13" fillId="0" borderId="0" xfId="0" applyNumberFormat="1" applyFont="1" applyFill="1" applyAlignment="1">
      <alignment horizontal="right" indent="2"/>
    </xf>
    <xf numFmtId="199" fontId="13" fillId="0" borderId="0" xfId="0" applyNumberFormat="1" applyFont="1" applyFill="1" applyAlignment="1">
      <alignment horizontal="right" indent="2"/>
    </xf>
    <xf numFmtId="199" fontId="13" fillId="0" borderId="0" xfId="178" applyNumberFormat="1" applyFont="1" applyFill="1" applyAlignment="1">
      <alignment horizontal="right" indent="2"/>
    </xf>
    <xf numFmtId="199" fontId="13" fillId="0" borderId="0" xfId="178" applyNumberFormat="1" applyFont="1" applyFill="1" applyBorder="1" applyAlignment="1">
      <alignment horizontal="right" indent="2"/>
    </xf>
    <xf numFmtId="200" fontId="43" fillId="0" borderId="0" xfId="8" applyNumberFormat="1" applyFont="1" applyFill="1"/>
    <xf numFmtId="201" fontId="43" fillId="0" borderId="0" xfId="8" applyNumberFormat="1" applyFont="1" applyAlignment="1">
      <alignment horizontal="center"/>
    </xf>
    <xf numFmtId="196" fontId="33" fillId="0" borderId="0" xfId="2" applyNumberFormat="1" applyFont="1" applyFill="1" applyBorder="1" applyAlignment="1">
      <alignment horizontal="right"/>
    </xf>
    <xf numFmtId="196" fontId="34" fillId="0" borderId="0" xfId="2" applyNumberFormat="1" applyFont="1" applyFill="1" applyBorder="1" applyAlignment="1">
      <alignment horizontal="right"/>
    </xf>
    <xf numFmtId="202" fontId="34" fillId="0" borderId="0" xfId="2" applyNumberFormat="1" applyFont="1" applyFill="1" applyBorder="1" applyAlignment="1">
      <alignment horizontal="right" indent="1"/>
    </xf>
    <xf numFmtId="202" fontId="33" fillId="0" borderId="0" xfId="2" applyNumberFormat="1" applyFont="1" applyFill="1" applyBorder="1" applyAlignment="1">
      <alignment horizontal="right" indent="1"/>
    </xf>
    <xf numFmtId="0" fontId="12" fillId="0" borderId="0" xfId="2" applyAlignment="1">
      <alignment wrapText="1"/>
    </xf>
    <xf numFmtId="0" fontId="12" fillId="0" borderId="0" xfId="2" applyAlignment="1">
      <alignment horizontal="left" vertical="center"/>
    </xf>
    <xf numFmtId="0" fontId="12" fillId="0" borderId="0" xfId="2" applyBorder="1" applyAlignment="1">
      <alignment horizontal="left"/>
    </xf>
    <xf numFmtId="0" fontId="12" fillId="0" borderId="0" xfId="2" applyBorder="1"/>
    <xf numFmtId="171" fontId="13" fillId="0" borderId="39" xfId="0" applyNumberFormat="1" applyFont="1" applyFill="1" applyBorder="1" applyAlignment="1">
      <alignment horizontal="left"/>
    </xf>
    <xf numFmtId="199" fontId="13" fillId="0" borderId="20" xfId="2" applyNumberFormat="1" applyFont="1" applyFill="1" applyBorder="1" applyAlignment="1">
      <alignment horizontal="right" indent="2"/>
    </xf>
    <xf numFmtId="199" fontId="13" fillId="0" borderId="0" xfId="2" applyNumberFormat="1" applyFont="1" applyFill="1" applyBorder="1" applyAlignment="1">
      <alignment horizontal="right" indent="2"/>
    </xf>
    <xf numFmtId="196" fontId="33" fillId="0" borderId="0" xfId="2" applyNumberFormat="1" applyFont="1" applyFill="1" applyBorder="1" applyAlignment="1"/>
    <xf numFmtId="195" fontId="43" fillId="0" borderId="0" xfId="8" applyNumberFormat="1" applyFont="1" applyAlignment="1">
      <alignment horizontal="center"/>
    </xf>
    <xf numFmtId="172" fontId="33" fillId="0" borderId="0" xfId="10" applyNumberFormat="1" applyFont="1" applyFill="1" applyBorder="1" applyAlignment="1">
      <alignment horizontal="right" indent="1"/>
    </xf>
    <xf numFmtId="202" fontId="34" fillId="0" borderId="0" xfId="10" applyNumberFormat="1" applyFont="1" applyFill="1" applyBorder="1" applyAlignment="1">
      <alignment horizontal="right" indent="1"/>
    </xf>
    <xf numFmtId="195" fontId="33" fillId="0" borderId="0" xfId="2" applyNumberFormat="1" applyFont="1" applyFill="1" applyBorder="1" applyAlignment="1">
      <alignment horizontal="right" indent="1"/>
    </xf>
    <xf numFmtId="196" fontId="33" fillId="0" borderId="0" xfId="2" applyNumberFormat="1" applyFont="1" applyFill="1" applyBorder="1" applyAlignment="1">
      <alignment horizontal="center"/>
    </xf>
    <xf numFmtId="0" fontId="20" fillId="0" borderId="0" xfId="4" applyFont="1" applyAlignment="1">
      <alignment horizontal="right"/>
    </xf>
    <xf numFmtId="0" fontId="19" fillId="0" borderId="0" xfId="4" applyFont="1"/>
    <xf numFmtId="0" fontId="21" fillId="0" borderId="0" xfId="4" applyFont="1" applyAlignment="1">
      <alignment horizontal="right" vertical="center"/>
    </xf>
    <xf numFmtId="0" fontId="20" fillId="0" borderId="0" xfId="4" applyFont="1" applyAlignment="1">
      <alignment horizontal="right" vertical="center"/>
    </xf>
    <xf numFmtId="17" fontId="32" fillId="0" borderId="0" xfId="4" quotePrefix="1" applyNumberFormat="1" applyFont="1" applyAlignment="1">
      <alignment horizontal="right"/>
    </xf>
    <xf numFmtId="0" fontId="32" fillId="0" borderId="0" xfId="4" applyFont="1" applyAlignment="1">
      <alignment horizontal="right"/>
    </xf>
    <xf numFmtId="17" fontId="20" fillId="0" borderId="0" xfId="4" quotePrefix="1" applyNumberFormat="1" applyFont="1" applyAlignment="1">
      <alignment horizontal="right"/>
    </xf>
    <xf numFmtId="0" fontId="25" fillId="0" borderId="0" xfId="4" applyFont="1" applyAlignment="1">
      <alignment horizontal="left"/>
    </xf>
    <xf numFmtId="0" fontId="26" fillId="0" borderId="0" xfId="4" applyFont="1" applyAlignment="1">
      <alignment horizontal="left"/>
    </xf>
    <xf numFmtId="0" fontId="20" fillId="0" borderId="0" xfId="4" applyFont="1" applyAlignment="1">
      <alignment horizontal="left"/>
    </xf>
    <xf numFmtId="0" fontId="16" fillId="0" borderId="0" xfId="4" applyFont="1" applyAlignment="1">
      <alignment horizontal="left"/>
    </xf>
    <xf numFmtId="0" fontId="16" fillId="0" borderId="0" xfId="4" applyFont="1" applyAlignment="1">
      <alignment horizontal="left" wrapText="1"/>
    </xf>
    <xf numFmtId="0" fontId="9" fillId="0" borderId="0" xfId="4" applyAlignment="1">
      <alignment horizontal="left" wrapText="1"/>
    </xf>
    <xf numFmtId="0" fontId="9" fillId="0" borderId="0" xfId="4" applyFont="1" applyAlignment="1">
      <alignment horizontal="left" wrapText="1"/>
    </xf>
    <xf numFmtId="0" fontId="27" fillId="0" borderId="0" xfId="9" applyAlignment="1">
      <alignment horizontal="left" wrapText="1"/>
    </xf>
    <xf numFmtId="0" fontId="9" fillId="0" borderId="0" xfId="4" applyFont="1" applyAlignment="1">
      <alignment horizontal="left"/>
    </xf>
    <xf numFmtId="0" fontId="1" fillId="0" borderId="0" xfId="4" applyFont="1" applyAlignment="1">
      <alignment horizontal="left" wrapText="1"/>
    </xf>
    <xf numFmtId="0" fontId="16" fillId="0" borderId="0" xfId="1" applyFont="1" applyAlignment="1">
      <alignment horizontal="left" vertical="top"/>
    </xf>
    <xf numFmtId="0" fontId="16" fillId="0" borderId="0" xfId="1" applyFont="1" applyAlignment="1">
      <alignment horizontal="left" vertical="center"/>
    </xf>
    <xf numFmtId="0" fontId="34" fillId="3" borderId="2" xfId="0" applyFont="1" applyFill="1" applyBorder="1" applyAlignment="1">
      <alignment horizontal="center" vertical="center"/>
    </xf>
    <xf numFmtId="0" fontId="14" fillId="2" borderId="0" xfId="0" applyFont="1" applyFill="1" applyBorder="1" applyAlignment="1">
      <alignment horizontal="center" vertical="top" wrapText="1"/>
    </xf>
    <xf numFmtId="49" fontId="34" fillId="4" borderId="1" xfId="0" applyNumberFormat="1" applyFont="1" applyFill="1" applyBorder="1" applyAlignment="1">
      <alignment horizontal="center" vertical="center" wrapText="1"/>
    </xf>
    <xf numFmtId="49" fontId="34" fillId="4" borderId="1" xfId="0" applyNumberFormat="1" applyFont="1" applyFill="1" applyBorder="1" applyAlignment="1">
      <alignment horizontal="center" vertical="center"/>
    </xf>
    <xf numFmtId="49" fontId="34" fillId="4" borderId="2" xfId="0" applyNumberFormat="1" applyFont="1" applyFill="1" applyBorder="1" applyAlignment="1">
      <alignment horizontal="center" vertical="center"/>
    </xf>
    <xf numFmtId="0" fontId="34" fillId="3" borderId="2" xfId="0" applyFont="1" applyFill="1" applyBorder="1" applyAlignment="1">
      <alignment horizontal="center" vertical="center" wrapText="1"/>
    </xf>
    <xf numFmtId="0" fontId="34" fillId="3" borderId="3" xfId="0" applyFont="1" applyFill="1" applyBorder="1" applyAlignment="1">
      <alignment horizontal="center" vertical="center"/>
    </xf>
    <xf numFmtId="49" fontId="34" fillId="3" borderId="2" xfId="0" applyNumberFormat="1" applyFont="1" applyFill="1" applyBorder="1" applyAlignment="1">
      <alignment horizontal="center" vertical="center" wrapText="1"/>
    </xf>
    <xf numFmtId="49" fontId="34" fillId="3" borderId="3" xfId="0" applyNumberFormat="1" applyFont="1" applyFill="1" applyBorder="1" applyAlignment="1">
      <alignment horizontal="center" vertical="center" wrapText="1"/>
    </xf>
    <xf numFmtId="0" fontId="35" fillId="2" borderId="0" xfId="0" applyFont="1" applyFill="1" applyBorder="1" applyAlignment="1">
      <alignment horizontal="center" wrapText="1"/>
    </xf>
    <xf numFmtId="0" fontId="33" fillId="2" borderId="0" xfId="0" applyFont="1" applyFill="1" applyBorder="1" applyAlignment="1">
      <alignment horizontal="center" wrapText="1"/>
    </xf>
    <xf numFmtId="49" fontId="34" fillId="5" borderId="2" xfId="0" applyNumberFormat="1" applyFont="1" applyFill="1" applyBorder="1" applyAlignment="1">
      <alignment horizontal="center" vertical="center"/>
    </xf>
    <xf numFmtId="49" fontId="34" fillId="5" borderId="3" xfId="0" applyNumberFormat="1"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49" fontId="34" fillId="5" borderId="1" xfId="0" applyNumberFormat="1" applyFont="1" applyFill="1" applyBorder="1" applyAlignment="1">
      <alignment horizontal="center" vertical="center" wrapText="1"/>
    </xf>
    <xf numFmtId="0" fontId="34" fillId="5" borderId="2" xfId="0" applyFont="1" applyFill="1" applyBorder="1" applyAlignment="1">
      <alignment horizontal="center" vertical="center" wrapText="1"/>
    </xf>
    <xf numFmtId="0" fontId="14" fillId="0" borderId="0" xfId="0" applyFont="1" applyBorder="1" applyAlignment="1">
      <alignment horizontal="center"/>
    </xf>
    <xf numFmtId="170" fontId="28" fillId="0" borderId="0" xfId="0" applyNumberFormat="1" applyFont="1" applyAlignment="1">
      <alignment horizontal="left"/>
    </xf>
    <xf numFmtId="0" fontId="13" fillId="4" borderId="2"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34" fillId="4" borderId="2" xfId="2" applyFont="1" applyFill="1" applyBorder="1" applyAlignment="1">
      <alignment horizontal="center" vertical="center"/>
    </xf>
    <xf numFmtId="170" fontId="45" fillId="0" borderId="0" xfId="2" applyNumberFormat="1" applyFont="1" applyAlignment="1">
      <alignment horizontal="left"/>
    </xf>
    <xf numFmtId="0" fontId="35" fillId="0" borderId="0" xfId="2" applyFont="1" applyAlignment="1">
      <alignment horizontal="center"/>
    </xf>
    <xf numFmtId="0" fontId="35" fillId="0" borderId="0" xfId="2" applyFont="1" applyBorder="1" applyAlignment="1">
      <alignment horizontal="center" wrapText="1"/>
    </xf>
    <xf numFmtId="0" fontId="13" fillId="0" borderId="0" xfId="2" applyFont="1" applyBorder="1" applyAlignment="1">
      <alignment horizontal="justify"/>
    </xf>
    <xf numFmtId="0" fontId="34" fillId="3" borderId="1" xfId="2" applyFont="1" applyFill="1" applyBorder="1" applyAlignment="1">
      <alignment horizontal="center" vertical="center"/>
    </xf>
    <xf numFmtId="0" fontId="34" fillId="3" borderId="2" xfId="2" applyFont="1" applyFill="1" applyBorder="1" applyAlignment="1">
      <alignment horizontal="center" vertical="center"/>
    </xf>
    <xf numFmtId="0" fontId="34" fillId="4" borderId="3" xfId="2" applyFont="1" applyFill="1" applyBorder="1" applyAlignment="1">
      <alignment horizontal="center" vertical="center"/>
    </xf>
    <xf numFmtId="0" fontId="34" fillId="4" borderId="2" xfId="2" applyFont="1" applyFill="1" applyBorder="1" applyAlignment="1">
      <alignment horizontal="center" vertical="center" wrapText="1"/>
    </xf>
    <xf numFmtId="0" fontId="43" fillId="0" borderId="16" xfId="8" applyFont="1" applyBorder="1" applyAlignment="1">
      <alignment horizontal="center" vertical="center"/>
    </xf>
    <xf numFmtId="0" fontId="43" fillId="0" borderId="9" xfId="8" applyFont="1" applyBorder="1" applyAlignment="1">
      <alignment horizontal="center" vertical="center"/>
    </xf>
    <xf numFmtId="0" fontId="43" fillId="0" borderId="16" xfId="8" applyFont="1" applyBorder="1" applyAlignment="1">
      <alignment horizontal="center" vertical="center" wrapText="1"/>
    </xf>
    <xf numFmtId="0" fontId="43" fillId="0" borderId="9" xfId="8" applyFont="1" applyBorder="1" applyAlignment="1">
      <alignment horizontal="center" vertical="center" wrapText="1"/>
    </xf>
    <xf numFmtId="0" fontId="28" fillId="9" borderId="19" xfId="8" applyFont="1" applyFill="1" applyBorder="1" applyAlignment="1">
      <alignment horizontal="center" vertical="center"/>
    </xf>
    <xf numFmtId="0" fontId="28" fillId="9" borderId="13" xfId="8" applyFont="1" applyFill="1" applyBorder="1" applyAlignment="1">
      <alignment horizontal="center" vertical="center"/>
    </xf>
    <xf numFmtId="0" fontId="28" fillId="9" borderId="14" xfId="8" applyFont="1" applyFill="1" applyBorder="1" applyAlignment="1">
      <alignment horizontal="center" vertical="center" wrapText="1"/>
    </xf>
    <xf numFmtId="0" fontId="28" fillId="9" borderId="15" xfId="8" applyFont="1" applyFill="1" applyBorder="1" applyAlignment="1">
      <alignment horizontal="center" vertical="center" wrapText="1"/>
    </xf>
    <xf numFmtId="0" fontId="28" fillId="9" borderId="19" xfId="8" quotePrefix="1" applyFont="1" applyFill="1" applyBorder="1" applyAlignment="1">
      <alignment horizontal="center" vertical="center"/>
    </xf>
    <xf numFmtId="0" fontId="28" fillId="9" borderId="14" xfId="8" quotePrefix="1" applyFont="1" applyFill="1" applyBorder="1" applyAlignment="1">
      <alignment horizontal="center" vertical="center" wrapText="1"/>
    </xf>
  </cellXfs>
  <cellStyles count="466">
    <cellStyle name="20 % - Akzent1 2" xfId="45"/>
    <cellStyle name="20 % - Akzent2 2" xfId="46"/>
    <cellStyle name="20 % - Akzent3 2" xfId="47"/>
    <cellStyle name="20 % - Akzent4 2" xfId="48"/>
    <cellStyle name="20 % - Akzent5 2" xfId="49"/>
    <cellStyle name="20 % - Akzent6 2" xfId="50"/>
    <cellStyle name="20% - Akzent1" xfId="51"/>
    <cellStyle name="20% - Akzent2" xfId="52"/>
    <cellStyle name="20% - Akzent3" xfId="53"/>
    <cellStyle name="20% - Akzent4" xfId="54"/>
    <cellStyle name="20% - Akzent5" xfId="55"/>
    <cellStyle name="20% - Akzent6" xfId="56"/>
    <cellStyle name="40 % - Akzent1 2" xfId="57"/>
    <cellStyle name="40 % - Akzent2 2" xfId="58"/>
    <cellStyle name="40 % - Akzent3 2" xfId="59"/>
    <cellStyle name="40 % - Akzent4 2" xfId="60"/>
    <cellStyle name="40 % - Akzent5 2" xfId="61"/>
    <cellStyle name="40 % - Akzent6 2" xfId="62"/>
    <cellStyle name="40% - Akzent1" xfId="63"/>
    <cellStyle name="40% - Akzent2" xfId="64"/>
    <cellStyle name="40% - Akzent3" xfId="65"/>
    <cellStyle name="40% - Akzent4" xfId="66"/>
    <cellStyle name="40% - Akzent5" xfId="67"/>
    <cellStyle name="40% - Akzent6" xfId="68"/>
    <cellStyle name="60 % - Akzent1 2" xfId="69"/>
    <cellStyle name="60 % - Akzent2 2" xfId="70"/>
    <cellStyle name="60 % - Akzent3 2" xfId="71"/>
    <cellStyle name="60 % - Akzent4 2" xfId="72"/>
    <cellStyle name="60 % - Akzent5 2" xfId="73"/>
    <cellStyle name="60 % - Akzent6 2" xfId="74"/>
    <cellStyle name="60% - Akzent1" xfId="75"/>
    <cellStyle name="60% - Akzent2" xfId="76"/>
    <cellStyle name="60% - Akzent3" xfId="77"/>
    <cellStyle name="60% - Akzent4" xfId="78"/>
    <cellStyle name="60% - Akzent5" xfId="79"/>
    <cellStyle name="60% - Akzent6" xfId="80"/>
    <cellStyle name="Akzent1 2" xfId="81"/>
    <cellStyle name="Akzent2 2" xfId="82"/>
    <cellStyle name="Akzent3 2" xfId="83"/>
    <cellStyle name="Akzent4 2" xfId="84"/>
    <cellStyle name="Akzent5 2" xfId="85"/>
    <cellStyle name="Akzent6 2" xfId="86"/>
    <cellStyle name="AllgAus" xfId="87"/>
    <cellStyle name="AllgEin" xfId="88"/>
    <cellStyle name="Arial, 10pt" xfId="5"/>
    <cellStyle name="Arial, 10pt 2" xfId="34"/>
    <cellStyle name="Arial, 10pt 3" xfId="38"/>
    <cellStyle name="Arial, 10pt 4" xfId="42"/>
    <cellStyle name="Arial, 8pt" xfId="6"/>
    <cellStyle name="Arial, 9pt" xfId="7"/>
    <cellStyle name="Ariel" xfId="89"/>
    <cellStyle name="Aus" xfId="90"/>
    <cellStyle name="Ausgabe 2" xfId="91"/>
    <cellStyle name="BasisEineNK" xfId="92"/>
    <cellStyle name="BasisOhneNK" xfId="93"/>
    <cellStyle name="Berechnung 2" xfId="94"/>
    <cellStyle name="bin" xfId="95"/>
    <cellStyle name="blue" xfId="96"/>
    <cellStyle name="cell" xfId="97"/>
    <cellStyle name="Col&amp;RowHeadings" xfId="98"/>
    <cellStyle name="ColCodes" xfId="99"/>
    <cellStyle name="ColTitles" xfId="100"/>
    <cellStyle name="column" xfId="101"/>
    <cellStyle name="Comma [0]_00grad" xfId="102"/>
    <cellStyle name="Comma 2" xfId="103"/>
    <cellStyle name="Comma_00grad" xfId="104"/>
    <cellStyle name="Currency [0]_00grad" xfId="105"/>
    <cellStyle name="Currency_00grad" xfId="106"/>
    <cellStyle name="DataEntryCells" xfId="107"/>
    <cellStyle name="Eingabe 2" xfId="108"/>
    <cellStyle name="ErfAus" xfId="109"/>
    <cellStyle name="ErfEin" xfId="110"/>
    <cellStyle name="Ergebnis 2" xfId="111"/>
    <cellStyle name="Erklärender Text 2" xfId="112"/>
    <cellStyle name="ErrRpt_DataEntryCells" xfId="113"/>
    <cellStyle name="ErrRpt-DataEntryCells" xfId="114"/>
    <cellStyle name="ErrRpt-GreyBackground" xfId="115"/>
    <cellStyle name="Euro" xfId="116"/>
    <cellStyle name="Euro 2" xfId="117"/>
    <cellStyle name="Finz2Ein" xfId="118"/>
    <cellStyle name="Finz3Ein" xfId="119"/>
    <cellStyle name="FinzAus" xfId="120"/>
    <cellStyle name="FinzEin" xfId="121"/>
    <cellStyle name="FordDM" xfId="122"/>
    <cellStyle name="FordEU" xfId="123"/>
    <cellStyle name="formula" xfId="124"/>
    <cellStyle name="FreiWeiß" xfId="125"/>
    <cellStyle name="FreiWeiß 2" xfId="126"/>
    <cellStyle name="Fußnote" xfId="127"/>
    <cellStyle name="gap" xfId="128"/>
    <cellStyle name="GesperrtGelb" xfId="129"/>
    <cellStyle name="GesperrtGelb 2" xfId="130"/>
    <cellStyle name="GesperrtSchraffiert" xfId="131"/>
    <cellStyle name="GesperrtSchraffiert 2" xfId="132"/>
    <cellStyle name="GJhrEin" xfId="133"/>
    <cellStyle name="GreyBackground" xfId="134"/>
    <cellStyle name="Gut 2" xfId="135"/>
    <cellStyle name="Hyperlink" xfId="9" builtinId="8"/>
    <cellStyle name="Hyperlink 2" xfId="32"/>
    <cellStyle name="Hyperlink 2 2" xfId="136"/>
    <cellStyle name="Hyperlink 3" xfId="137"/>
    <cellStyle name="ISC" xfId="138"/>
    <cellStyle name="isced" xfId="139"/>
    <cellStyle name="ISCED Titles" xfId="140"/>
    <cellStyle name="Komma 2" xfId="141"/>
    <cellStyle name="Kopf" xfId="142"/>
    <cellStyle name="Leerzellen/Rand grau" xfId="143"/>
    <cellStyle name="level1a" xfId="144"/>
    <cellStyle name="level2" xfId="145"/>
    <cellStyle name="level2a" xfId="146"/>
    <cellStyle name="level2a 2" xfId="147"/>
    <cellStyle name="level3" xfId="148"/>
    <cellStyle name="Migliaia (0)_conti99" xfId="149"/>
    <cellStyle name="Neutral 2" xfId="150"/>
    <cellStyle name="Normal_00enrl" xfId="151"/>
    <cellStyle name="Notiz 2" xfId="152"/>
    <cellStyle name="Notiz 2 2" xfId="153"/>
    <cellStyle name="Notiz 2 2 2" xfId="154"/>
    <cellStyle name="o.Tausender" xfId="155"/>
    <cellStyle name="Percent_1 SubOverv.USd" xfId="156"/>
    <cellStyle name="ProzVeränderung" xfId="157"/>
    <cellStyle name="row" xfId="158"/>
    <cellStyle name="RowCodes" xfId="159"/>
    <cellStyle name="Row-Col Headings" xfId="160"/>
    <cellStyle name="RowTitles" xfId="161"/>
    <cellStyle name="RowTitles1-Detail" xfId="162"/>
    <cellStyle name="RowTitles-Col2" xfId="163"/>
    <cellStyle name="RowTitles-Detail" xfId="164"/>
    <cellStyle name="Schlecht 2" xfId="165"/>
    <cellStyle name="Standard" xfId="0" builtinId="0"/>
    <cellStyle name="Standard 10" xfId="28"/>
    <cellStyle name="Standard 10 2" xfId="44"/>
    <cellStyle name="Standard 10 2 2" xfId="166"/>
    <cellStyle name="Standard 10 3" xfId="167"/>
    <cellStyle name="Standard 10 4" xfId="168"/>
    <cellStyle name="Standard 11" xfId="40"/>
    <cellStyle name="Standard 11 2" xfId="169"/>
    <cellStyle name="Standard 11 2 2" xfId="170"/>
    <cellStyle name="Standard 11 3" xfId="171"/>
    <cellStyle name="Standard 12" xfId="172"/>
    <cellStyle name="Standard 12 2" xfId="173"/>
    <cellStyle name="Standard 12 2 2" xfId="174"/>
    <cellStyle name="Standard 12 2 2 2" xfId="175"/>
    <cellStyle name="Standard 12 3" xfId="176"/>
    <cellStyle name="Standard 13" xfId="177"/>
    <cellStyle name="Standard 13 2" xfId="178"/>
    <cellStyle name="Standard 13 3" xfId="179"/>
    <cellStyle name="Standard 14" xfId="180"/>
    <cellStyle name="Standard 14 2" xfId="181"/>
    <cellStyle name="Standard 15" xfId="182"/>
    <cellStyle name="Standard 15 2" xfId="183"/>
    <cellStyle name="Standard 15 2 2" xfId="184"/>
    <cellStyle name="Standard 16" xfId="185"/>
    <cellStyle name="Standard 16 2" xfId="186"/>
    <cellStyle name="Standard 16 3" xfId="187"/>
    <cellStyle name="Standard 16 4" xfId="188"/>
    <cellStyle name="Standard 17" xfId="189"/>
    <cellStyle name="Standard 17 2" xfId="190"/>
    <cellStyle name="Standard 18" xfId="191"/>
    <cellStyle name="Standard 18 2" xfId="192"/>
    <cellStyle name="Standard 19" xfId="193"/>
    <cellStyle name="Standard 19 2" xfId="194"/>
    <cellStyle name="Standard 19 2 2" xfId="195"/>
    <cellStyle name="Standard 19 3" xfId="196"/>
    <cellStyle name="Standard 19 3 2" xfId="197"/>
    <cellStyle name="Standard 19 3 3" xfId="198"/>
    <cellStyle name="Standard 19 4" xfId="199"/>
    <cellStyle name="Standard 19 5" xfId="200"/>
    <cellStyle name="Standard 2" xfId="1"/>
    <cellStyle name="Standard 2 10" xfId="201"/>
    <cellStyle name="Standard 2 10 2" xfId="202"/>
    <cellStyle name="Standard 2 11" xfId="203"/>
    <cellStyle name="Standard 2 11 2" xfId="204"/>
    <cellStyle name="Standard 2 12" xfId="205"/>
    <cellStyle name="Standard 2 12 2" xfId="206"/>
    <cellStyle name="Standard 2 13" xfId="207"/>
    <cellStyle name="Standard 2 13 2" xfId="208"/>
    <cellStyle name="Standard 2 14" xfId="209"/>
    <cellStyle name="Standard 2 14 2" xfId="210"/>
    <cellStyle name="Standard 2 15" xfId="211"/>
    <cellStyle name="Standard 2 15 2" xfId="212"/>
    <cellStyle name="Standard 2 16" xfId="213"/>
    <cellStyle name="Standard 2 17" xfId="214"/>
    <cellStyle name="Standard 2 18" xfId="215"/>
    <cellStyle name="Standard 2 2" xfId="15"/>
    <cellStyle name="Standard 2 2 2" xfId="20"/>
    <cellStyle name="Standard 2 2 2 2" xfId="216"/>
    <cellStyle name="Standard 2 2 2 3" xfId="217"/>
    <cellStyle name="Standard 2 2 2 4" xfId="464"/>
    <cellStyle name="Standard 2 2 3" xfId="31"/>
    <cellStyle name="Standard 2 2 4" xfId="218"/>
    <cellStyle name="Standard 2 2 5" xfId="219"/>
    <cellStyle name="Standard 2 3" xfId="12"/>
    <cellStyle name="Standard 2 3 2" xfId="220"/>
    <cellStyle name="Standard 2 4" xfId="18"/>
    <cellStyle name="Standard 2 4 2" xfId="221"/>
    <cellStyle name="Standard 2 4 3" xfId="462"/>
    <cellStyle name="Standard 2 5" xfId="29"/>
    <cellStyle name="Standard 2 5 2" xfId="222"/>
    <cellStyle name="Standard 2 5 3" xfId="223"/>
    <cellStyle name="Standard 2 6" xfId="224"/>
    <cellStyle name="Standard 2 6 2" xfId="225"/>
    <cellStyle name="Standard 2 7" xfId="226"/>
    <cellStyle name="Standard 2 7 2" xfId="227"/>
    <cellStyle name="Standard 2 8" xfId="228"/>
    <cellStyle name="Standard 2 8 2" xfId="229"/>
    <cellStyle name="Standard 2 9" xfId="230"/>
    <cellStyle name="Standard 2 9 2" xfId="231"/>
    <cellStyle name="Standard 20" xfId="232"/>
    <cellStyle name="Standard 20 2" xfId="233"/>
    <cellStyle name="Standard 21" xfId="234"/>
    <cellStyle name="Standard 21 2" xfId="235"/>
    <cellStyle name="Standard 21 2 2" xfId="236"/>
    <cellStyle name="Standard 21 3" xfId="237"/>
    <cellStyle name="Standard 22" xfId="238"/>
    <cellStyle name="Standard 22 2" xfId="239"/>
    <cellStyle name="Standard 23" xfId="240"/>
    <cellStyle name="Standard 23 2" xfId="241"/>
    <cellStyle name="Standard 24" xfId="242"/>
    <cellStyle name="Standard 24 2" xfId="243"/>
    <cellStyle name="Standard 25" xfId="244"/>
    <cellStyle name="Standard 25 2" xfId="245"/>
    <cellStyle name="Standard 26" xfId="246"/>
    <cellStyle name="Standard 26 2" xfId="247"/>
    <cellStyle name="Standard 27" xfId="248"/>
    <cellStyle name="Standard 27 2" xfId="249"/>
    <cellStyle name="Standard 28" xfId="250"/>
    <cellStyle name="Standard 28 2" xfId="251"/>
    <cellStyle name="Standard 29" xfId="252"/>
    <cellStyle name="Standard 29 2" xfId="253"/>
    <cellStyle name="Standard 29 2 2" xfId="254"/>
    <cellStyle name="Standard 3" xfId="2"/>
    <cellStyle name="Standard 3 2" xfId="8"/>
    <cellStyle name="Standard 3 2 2" xfId="255"/>
    <cellStyle name="Standard 3 2 2 2" xfId="256"/>
    <cellStyle name="Standard 3 2 3" xfId="257"/>
    <cellStyle name="Standard 3 3" xfId="258"/>
    <cellStyle name="Standard 3 3 2" xfId="259"/>
    <cellStyle name="Standard 3 4" xfId="260"/>
    <cellStyle name="Standard 3 4 2" xfId="261"/>
    <cellStyle name="Standard 3 5" xfId="262"/>
    <cellStyle name="Standard 30" xfId="263"/>
    <cellStyle name="Standard 30 2" xfId="264"/>
    <cellStyle name="Standard 31" xfId="265"/>
    <cellStyle name="Standard 31 2" xfId="266"/>
    <cellStyle name="Standard 32" xfId="267"/>
    <cellStyle name="Standard 32 2" xfId="268"/>
    <cellStyle name="Standard 33" xfId="269"/>
    <cellStyle name="Standard 33 2" xfId="270"/>
    <cellStyle name="Standard 34" xfId="271"/>
    <cellStyle name="Standard 34 2" xfId="272"/>
    <cellStyle name="Standard 35" xfId="273"/>
    <cellStyle name="Standard 35 2" xfId="274"/>
    <cellStyle name="Standard 36" xfId="275"/>
    <cellStyle name="Standard 36 2" xfId="276"/>
    <cellStyle name="Standard 37" xfId="277"/>
    <cellStyle name="Standard 37 2" xfId="278"/>
    <cellStyle name="Standard 38" xfId="279"/>
    <cellStyle name="Standard 38 2" xfId="280"/>
    <cellStyle name="Standard 39" xfId="281"/>
    <cellStyle name="Standard 39 2" xfId="282"/>
    <cellStyle name="Standard 4" xfId="3"/>
    <cellStyle name="Standard 4 2" xfId="13"/>
    <cellStyle name="Standard 4 2 2" xfId="25"/>
    <cellStyle name="Standard 4 2 2 2" xfId="283"/>
    <cellStyle name="Standard 4 2 2 3" xfId="465"/>
    <cellStyle name="Standard 4 2 3" xfId="284"/>
    <cellStyle name="Standard 4 3" xfId="19"/>
    <cellStyle name="Standard 4 3 2" xfId="285"/>
    <cellStyle name="Standard 4 3 3" xfId="463"/>
    <cellStyle name="Standard 4 4" xfId="30"/>
    <cellStyle name="Standard 4 5" xfId="286"/>
    <cellStyle name="Standard 40" xfId="287"/>
    <cellStyle name="Standard 40 2" xfId="288"/>
    <cellStyle name="Standard 41" xfId="289"/>
    <cellStyle name="Standard 41 2" xfId="290"/>
    <cellStyle name="Standard 42" xfId="291"/>
    <cellStyle name="Standard 42 2" xfId="292"/>
    <cellStyle name="Standard 43" xfId="293"/>
    <cellStyle name="Standard 43 2" xfId="294"/>
    <cellStyle name="Standard 44" xfId="295"/>
    <cellStyle name="Standard 44 2" xfId="296"/>
    <cellStyle name="Standard 45" xfId="297"/>
    <cellStyle name="Standard 45 2" xfId="298"/>
    <cellStyle name="Standard 46" xfId="299"/>
    <cellStyle name="Standard 46 2" xfId="300"/>
    <cellStyle name="Standard 47" xfId="301"/>
    <cellStyle name="Standard 47 2" xfId="302"/>
    <cellStyle name="Standard 48" xfId="303"/>
    <cellStyle name="Standard 48 2" xfId="304"/>
    <cellStyle name="Standard 49" xfId="305"/>
    <cellStyle name="Standard 49 2" xfId="306"/>
    <cellStyle name="Standard 5" xfId="4"/>
    <cellStyle name="Standard 5 2" xfId="14"/>
    <cellStyle name="Standard 5 2 2" xfId="307"/>
    <cellStyle name="Standard 5 2 2 2" xfId="308"/>
    <cellStyle name="Standard 5 2 3" xfId="309"/>
    <cellStyle name="Standard 5 2 4" xfId="310"/>
    <cellStyle name="Standard 5 3" xfId="311"/>
    <cellStyle name="Standard 5 3 2" xfId="312"/>
    <cellStyle name="Standard 5 4" xfId="313"/>
    <cellStyle name="Standard 5 5" xfId="314"/>
    <cellStyle name="Standard 50" xfId="315"/>
    <cellStyle name="Standard 50 2" xfId="316"/>
    <cellStyle name="Standard 50 2 2" xfId="317"/>
    <cellStyle name="Standard 50 2 2 2" xfId="318"/>
    <cellStyle name="Standard 50 2 3" xfId="319"/>
    <cellStyle name="Standard 50 3" xfId="320"/>
    <cellStyle name="Standard 50 4" xfId="321"/>
    <cellStyle name="Standard 51" xfId="322"/>
    <cellStyle name="Standard 51 2" xfId="323"/>
    <cellStyle name="Standard 52" xfId="324"/>
    <cellStyle name="Standard 52 2" xfId="325"/>
    <cellStyle name="Standard 53" xfId="326"/>
    <cellStyle name="Standard 53 2" xfId="327"/>
    <cellStyle name="Standard 54" xfId="328"/>
    <cellStyle name="Standard 54 2" xfId="329"/>
    <cellStyle name="Standard 55" xfId="330"/>
    <cellStyle name="Standard 55 2" xfId="331"/>
    <cellStyle name="Standard 56" xfId="332"/>
    <cellStyle name="Standard 56 2" xfId="333"/>
    <cellStyle name="Standard 57" xfId="334"/>
    <cellStyle name="Standard 57 2" xfId="335"/>
    <cellStyle name="Standard 58" xfId="336"/>
    <cellStyle name="Standard 58 2" xfId="337"/>
    <cellStyle name="Standard 59" xfId="338"/>
    <cellStyle name="Standard 59 2" xfId="339"/>
    <cellStyle name="Standard 59 2 2" xfId="340"/>
    <cellStyle name="Standard 59 2 2 2" xfId="341"/>
    <cellStyle name="Standard 59 2 2 3" xfId="342"/>
    <cellStyle name="Standard 59 2 3" xfId="343"/>
    <cellStyle name="Standard 59 3" xfId="344"/>
    <cellStyle name="Standard 59 3 2" xfId="345"/>
    <cellStyle name="Standard 59 3 2 2" xfId="346"/>
    <cellStyle name="Standard 59 3 3" xfId="347"/>
    <cellStyle name="Standard 59 4" xfId="348"/>
    <cellStyle name="Standard 6" xfId="16"/>
    <cellStyle name="Standard 6 2" xfId="26"/>
    <cellStyle name="Standard 6 2 2" xfId="35"/>
    <cellStyle name="Standard 6 3" xfId="21"/>
    <cellStyle name="Standard 6 3 2" xfId="349"/>
    <cellStyle name="Standard 6 3 2 2" xfId="350"/>
    <cellStyle name="Standard 6 3 3" xfId="351"/>
    <cellStyle name="Standard 6 3 4" xfId="352"/>
    <cellStyle name="Standard 6 4" xfId="33"/>
    <cellStyle name="Standard 6 4 2" xfId="353"/>
    <cellStyle name="Standard 6 5" xfId="37"/>
    <cellStyle name="Standard 6 6" xfId="41"/>
    <cellStyle name="Standard 60" xfId="354"/>
    <cellStyle name="Standard 60 2" xfId="355"/>
    <cellStyle name="Standard 60 2 2" xfId="356"/>
    <cellStyle name="Standard 60 3" xfId="357"/>
    <cellStyle name="Standard 61" xfId="358"/>
    <cellStyle name="Standard 61 2" xfId="359"/>
    <cellStyle name="Standard 61 2 2" xfId="360"/>
    <cellStyle name="Standard 61 3" xfId="361"/>
    <cellStyle name="Standard 62" xfId="362"/>
    <cellStyle name="Standard 62 2" xfId="363"/>
    <cellStyle name="Standard 62 3" xfId="364"/>
    <cellStyle name="Standard 63" xfId="365"/>
    <cellStyle name="Standard 63 2" xfId="366"/>
    <cellStyle name="Standard 64" xfId="367"/>
    <cellStyle name="Standard 64 2" xfId="368"/>
    <cellStyle name="Standard 65" xfId="369"/>
    <cellStyle name="Standard 65 2" xfId="370"/>
    <cellStyle name="Standard 66" xfId="371"/>
    <cellStyle name="Standard 7" xfId="17"/>
    <cellStyle name="Standard 7 2" xfId="27"/>
    <cellStyle name="Standard 7 2 2" xfId="36"/>
    <cellStyle name="Standard 7 2 3" xfId="39"/>
    <cellStyle name="Standard 7 2 4" xfId="43"/>
    <cellStyle name="Standard 7 2 5" xfId="372"/>
    <cellStyle name="Standard 7 3" xfId="22"/>
    <cellStyle name="Standard 7 3 2" xfId="373"/>
    <cellStyle name="Standard 7 3 3" xfId="374"/>
    <cellStyle name="Standard 7 4" xfId="375"/>
    <cellStyle name="Standard 7 4 2" xfId="376"/>
    <cellStyle name="Standard 7 4 3" xfId="377"/>
    <cellStyle name="Standard 7 4 4" xfId="378"/>
    <cellStyle name="Standard 7 5" xfId="379"/>
    <cellStyle name="Standard 7 5 2" xfId="380"/>
    <cellStyle name="Standard 7 5 2 2" xfId="381"/>
    <cellStyle name="Standard 7 5 3" xfId="382"/>
    <cellStyle name="Standard 7 6" xfId="383"/>
    <cellStyle name="Standard 7 6 2" xfId="384"/>
    <cellStyle name="Standard 7 7" xfId="385"/>
    <cellStyle name="Standard 7 7 2" xfId="386"/>
    <cellStyle name="Standard 7 8" xfId="387"/>
    <cellStyle name="Standard 8" xfId="11"/>
    <cellStyle name="Standard 8 10" xfId="388"/>
    <cellStyle name="Standard 8 10 2" xfId="389"/>
    <cellStyle name="Standard 8 11" xfId="390"/>
    <cellStyle name="Standard 8 12" xfId="391"/>
    <cellStyle name="Standard 8 13" xfId="461"/>
    <cellStyle name="Standard 8 2" xfId="24"/>
    <cellStyle name="Standard 8 2 2" xfId="392"/>
    <cellStyle name="Standard 8 2 3" xfId="393"/>
    <cellStyle name="Standard 8 3" xfId="394"/>
    <cellStyle name="Standard 8 3 2" xfId="395"/>
    <cellStyle name="Standard 8 4" xfId="396"/>
    <cellStyle name="Standard 8 4 2" xfId="397"/>
    <cellStyle name="Standard 8 4 2 2" xfId="398"/>
    <cellStyle name="Standard 8 4 3" xfId="399"/>
    <cellStyle name="Standard 8 5" xfId="400"/>
    <cellStyle name="Standard 8 5 2" xfId="401"/>
    <cellStyle name="Standard 8 6" xfId="402"/>
    <cellStyle name="Standard 8 6 2" xfId="403"/>
    <cellStyle name="Standard 8 7" xfId="404"/>
    <cellStyle name="Standard 8 7 2" xfId="405"/>
    <cellStyle name="Standard 8 8" xfId="406"/>
    <cellStyle name="Standard 8 8 2" xfId="407"/>
    <cellStyle name="Standard 8 9" xfId="408"/>
    <cellStyle name="Standard 8 9 2" xfId="409"/>
    <cellStyle name="Standard 9" xfId="23"/>
    <cellStyle name="Standard 9 2" xfId="410"/>
    <cellStyle name="Standard 9 2 2" xfId="411"/>
    <cellStyle name="Standard 9 2 3" xfId="412"/>
    <cellStyle name="Standard 9 3" xfId="413"/>
    <cellStyle name="Standard 9 3 2" xfId="414"/>
    <cellStyle name="Standard 9 3 3" xfId="415"/>
    <cellStyle name="Standard 9 4" xfId="416"/>
    <cellStyle name="Standard 9 4 2" xfId="417"/>
    <cellStyle name="Standard 9 5" xfId="418"/>
    <cellStyle name="Standard_Bericht" xfId="10"/>
    <cellStyle name="Stil 1" xfId="419"/>
    <cellStyle name="Stil 2" xfId="420"/>
    <cellStyle name="Tabelle grau" xfId="421"/>
    <cellStyle name="Tabelle grau 2" xfId="422"/>
    <cellStyle name="Tabelle Weiss" xfId="423"/>
    <cellStyle name="Tausender" xfId="424"/>
    <cellStyle name="Tausender 2" xfId="425"/>
    <cellStyle name="tausender 2 2" xfId="426"/>
    <cellStyle name="Tausender 3" xfId="427"/>
    <cellStyle name="Tausender Komma" xfId="428"/>
    <cellStyle name="tausender mit komma" xfId="429"/>
    <cellStyle name="Tausender_Komma" xfId="430"/>
    <cellStyle name="temp" xfId="431"/>
    <cellStyle name="Text grau" xfId="432"/>
    <cellStyle name="Text grau 2" xfId="433"/>
    <cellStyle name="Text grau 3" xfId="434"/>
    <cellStyle name="Text weiß" xfId="435"/>
    <cellStyle name="Textkasten rot" xfId="436"/>
    <cellStyle name="title1" xfId="437"/>
    <cellStyle name="Trennstrich grau" xfId="438"/>
    <cellStyle name="Trennstrich grau 2" xfId="439"/>
    <cellStyle name="Trennstrich weiß" xfId="440"/>
    <cellStyle name="TxtAus" xfId="441"/>
    <cellStyle name="TxtEin" xfId="442"/>
    <cellStyle name="Überschrift 1 2" xfId="443"/>
    <cellStyle name="Überschrift 2 2" xfId="444"/>
    <cellStyle name="Überschrift 3 2" xfId="445"/>
    <cellStyle name="Überschrift 4 2" xfId="446"/>
    <cellStyle name="Überschrift 5" xfId="447"/>
    <cellStyle name="Überschrift Hintergrund Grau" xfId="448"/>
    <cellStyle name="Überschriften" xfId="449"/>
    <cellStyle name="Verknüpfte Zelle 2" xfId="450"/>
    <cellStyle name="Versuch" xfId="451"/>
    <cellStyle name="Währung 2" xfId="452"/>
    <cellStyle name="Warnender Text 2" xfId="453"/>
    <cellStyle name="WisysEin" xfId="454"/>
    <cellStyle name="WzAus" xfId="455"/>
    <cellStyle name="WzEin" xfId="456"/>
    <cellStyle name="Zelle mit 2.Komma" xfId="457"/>
    <cellStyle name="Zelle mit Rand" xfId="458"/>
    <cellStyle name="Zelle überprüfen 2" xfId="459"/>
    <cellStyle name="Zwischenüberschrift" xfId="460"/>
  </cellStyles>
  <dxfs count="17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TB5_1!$C$8:$C$28</c:f>
              <c:numCache>
                <c:formatCode>##\ ###\ ##0\ ;\-\ ##\ ###\ ##0\ ;"– "</c:formatCode>
                <c:ptCount val="21"/>
                <c:pt idx="0">
                  <c:v>111544</c:v>
                </c:pt>
                <c:pt idx="1">
                  <c:v>107253</c:v>
                </c:pt>
                <c:pt idx="2">
                  <c:v>103463</c:v>
                </c:pt>
                <c:pt idx="3">
                  <c:v>98926</c:v>
                </c:pt>
                <c:pt idx="4">
                  <c:v>98154</c:v>
                </c:pt>
                <c:pt idx="5">
                  <c:v>100422</c:v>
                </c:pt>
                <c:pt idx="6">
                  <c:v>100868</c:v>
                </c:pt>
                <c:pt idx="7">
                  <c:v>97367</c:v>
                </c:pt>
                <c:pt idx="8">
                  <c:v>94725</c:v>
                </c:pt>
                <c:pt idx="9">
                  <c:v>93496</c:v>
                </c:pt>
                <c:pt idx="10">
                  <c:v>95427</c:v>
                </c:pt>
                <c:pt idx="11">
                  <c:v>93755</c:v>
                </c:pt>
                <c:pt idx="12">
                  <c:v>85118</c:v>
                </c:pt>
                <c:pt idx="13">
                  <c:v>82782</c:v>
                </c:pt>
                <c:pt idx="14">
                  <c:v>81089</c:v>
                </c:pt>
                <c:pt idx="15">
                  <c:v>83058</c:v>
                </c:pt>
                <c:pt idx="16">
                  <c:v>83766</c:v>
                </c:pt>
                <c:pt idx="17">
                  <c:v>84853</c:v>
                </c:pt>
                <c:pt idx="18">
                  <c:v>86087</c:v>
                </c:pt>
                <c:pt idx="19">
                  <c:v>85622</c:v>
                </c:pt>
                <c:pt idx="20">
                  <c:v>85986</c:v>
                </c:pt>
              </c:numCache>
            </c:numRef>
          </c:val>
        </c:ser>
        <c:dLbls>
          <c:dLblPos val="ctr"/>
          <c:showLegendKey val="0"/>
          <c:showVal val="1"/>
          <c:showCatName val="0"/>
          <c:showSerName val="0"/>
          <c:showPercent val="0"/>
          <c:showBubbleSize val="0"/>
        </c:dLbls>
        <c:gapWidth val="150"/>
        <c:axId val="95163904"/>
        <c:axId val="95623040"/>
      </c:barChart>
      <c:catAx>
        <c:axId val="95163904"/>
        <c:scaling>
          <c:orientation val="minMax"/>
        </c:scaling>
        <c:delete val="0"/>
        <c:axPos val="b"/>
        <c:numFmt formatCode="General" sourceLinked="1"/>
        <c:majorTickMark val="none"/>
        <c:minorTickMark val="none"/>
        <c:tickLblPos val="nextTo"/>
        <c:txPr>
          <a:bodyPr rot="-3600000"/>
          <a:lstStyle/>
          <a:p>
            <a:pPr>
              <a:defRPr/>
            </a:pPr>
            <a:endParaRPr lang="de-DE"/>
          </a:p>
        </c:txPr>
        <c:crossAx val="95623040"/>
        <c:crossesAt val="73000"/>
        <c:auto val="0"/>
        <c:lblAlgn val="ctr"/>
        <c:lblOffset val="100"/>
        <c:noMultiLvlLbl val="0"/>
      </c:catAx>
      <c:valAx>
        <c:axId val="95623040"/>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 ;\-\ ##\ ###\ ##0\ ;&quot;– &quot;" sourceLinked="1"/>
        <c:majorTickMark val="none"/>
        <c:minorTickMark val="none"/>
        <c:tickLblPos val="nextTo"/>
        <c:crossAx val="95163904"/>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Gesamtumsatz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TB5_1!$E$8:$E$28</c:f>
              <c:numCache>
                <c:formatCode>##\ ###\ ##0\ ;\-\ ##\ ###\ ##0\ ;"– "</c:formatCode>
                <c:ptCount val="21"/>
                <c:pt idx="0">
                  <c:v>55371956</c:v>
                </c:pt>
                <c:pt idx="1">
                  <c:v>60710454</c:v>
                </c:pt>
                <c:pt idx="2">
                  <c:v>48430705</c:v>
                </c:pt>
                <c:pt idx="3">
                  <c:v>48190293</c:v>
                </c:pt>
                <c:pt idx="4">
                  <c:v>56014702</c:v>
                </c:pt>
                <c:pt idx="5">
                  <c:v>67861795</c:v>
                </c:pt>
                <c:pt idx="6">
                  <c:v>66481294</c:v>
                </c:pt>
                <c:pt idx="7">
                  <c:v>69161973</c:v>
                </c:pt>
                <c:pt idx="8">
                  <c:v>64266307</c:v>
                </c:pt>
                <c:pt idx="9">
                  <c:v>65293897</c:v>
                </c:pt>
                <c:pt idx="10">
                  <c:v>72514648</c:v>
                </c:pt>
                <c:pt idx="11">
                  <c:v>74176770</c:v>
                </c:pt>
                <c:pt idx="12">
                  <c:v>76788139</c:v>
                </c:pt>
                <c:pt idx="13">
                  <c:v>53462495</c:v>
                </c:pt>
                <c:pt idx="14">
                  <c:v>73497409.496000007</c:v>
                </c:pt>
                <c:pt idx="15">
                  <c:v>85064473</c:v>
                </c:pt>
                <c:pt idx="16">
                  <c:v>88419481</c:v>
                </c:pt>
                <c:pt idx="17">
                  <c:v>83060160.429000005</c:v>
                </c:pt>
                <c:pt idx="18">
                  <c:v>79153644.015000001</c:v>
                </c:pt>
                <c:pt idx="19">
                  <c:v>70914314</c:v>
                </c:pt>
                <c:pt idx="20">
                  <c:v>68567351</c:v>
                </c:pt>
              </c:numCache>
            </c:numRef>
          </c:val>
        </c:ser>
        <c:dLbls>
          <c:dLblPos val="ctr"/>
          <c:showLegendKey val="0"/>
          <c:showVal val="1"/>
          <c:showCatName val="0"/>
          <c:showSerName val="0"/>
          <c:showPercent val="0"/>
          <c:showBubbleSize val="0"/>
        </c:dLbls>
        <c:gapWidth val="150"/>
        <c:axId val="67977600"/>
        <c:axId val="67979136"/>
      </c:barChart>
      <c:catAx>
        <c:axId val="67977600"/>
        <c:scaling>
          <c:orientation val="minMax"/>
        </c:scaling>
        <c:delete val="0"/>
        <c:axPos val="b"/>
        <c:numFmt formatCode="General" sourceLinked="1"/>
        <c:majorTickMark val="none"/>
        <c:minorTickMark val="none"/>
        <c:tickLblPos val="nextTo"/>
        <c:txPr>
          <a:bodyPr rot="-3600000"/>
          <a:lstStyle/>
          <a:p>
            <a:pPr>
              <a:defRPr/>
            </a:pPr>
            <a:endParaRPr lang="de-DE"/>
          </a:p>
        </c:txPr>
        <c:crossAx val="67979136"/>
        <c:crosses val="autoZero"/>
        <c:auto val="0"/>
        <c:lblAlgn val="ctr"/>
        <c:lblOffset val="100"/>
        <c:noMultiLvlLbl val="0"/>
      </c:catAx>
      <c:valAx>
        <c:axId val="67979136"/>
        <c:scaling>
          <c:orientation val="minMax"/>
          <c:max val="100000000"/>
          <c:min val="4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67977600"/>
        <c:crosses val="autoZero"/>
        <c:crossBetween val="between"/>
        <c:majorUnit val="5000000"/>
        <c:minorUnit val="5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invertIfNegative val="0"/>
          <c:dLbls>
            <c:delete val="1"/>
          </c:dLbls>
          <c:cat>
            <c:numRef>
              <c:f>TB5_1!$A$8:$A$28</c:f>
              <c:numCache>
                <c:formatCode>0;[Red]0</c:formatCode>
                <c:ptCount val="21"/>
                <c:pt idx="0" formatCode="General">
                  <c:v>1996</c:v>
                </c:pt>
                <c:pt idx="1">
                  <c:v>1997</c:v>
                </c:pt>
                <c:pt idx="2" formatCode="General">
                  <c:v>1998</c:v>
                </c:pt>
                <c:pt idx="3">
                  <c:v>1999</c:v>
                </c:pt>
                <c:pt idx="4" formatCode="General">
                  <c:v>2000</c:v>
                </c:pt>
                <c:pt idx="5">
                  <c:v>2001</c:v>
                </c:pt>
                <c:pt idx="6" formatCode="General">
                  <c:v>2002</c:v>
                </c:pt>
                <c:pt idx="7">
                  <c:v>2003</c:v>
                </c:pt>
                <c:pt idx="8" formatCode="General">
                  <c:v>2004</c:v>
                </c:pt>
                <c:pt idx="9">
                  <c:v>2005</c:v>
                </c:pt>
                <c:pt idx="10" formatCode="General">
                  <c:v>2006</c:v>
                </c:pt>
                <c:pt idx="11">
                  <c:v>2007</c:v>
                </c:pt>
                <c:pt idx="12" formatCode="General">
                  <c:v>2008</c:v>
                </c:pt>
                <c:pt idx="13">
                  <c:v>2009</c:v>
                </c:pt>
                <c:pt idx="14" formatCode="General">
                  <c:v>2010</c:v>
                </c:pt>
                <c:pt idx="15">
                  <c:v>2011</c:v>
                </c:pt>
                <c:pt idx="16" formatCode="General">
                  <c:v>2012</c:v>
                </c:pt>
                <c:pt idx="17" formatCode="General">
                  <c:v>2013</c:v>
                </c:pt>
                <c:pt idx="18" formatCode="General">
                  <c:v>2014</c:v>
                </c:pt>
                <c:pt idx="19" formatCode="General">
                  <c:v>2015</c:v>
                </c:pt>
                <c:pt idx="20" formatCode="General">
                  <c:v>2016</c:v>
                </c:pt>
              </c:numCache>
            </c:numRef>
          </c:cat>
          <c:val>
            <c:numRef>
              <c:f>TB5_1!$F$8:$F$28</c:f>
              <c:numCache>
                <c:formatCode>##\ ###\ ##0\ ;\-\ ##\ ###\ ##0\ ;"– "</c:formatCode>
                <c:ptCount val="21"/>
                <c:pt idx="0">
                  <c:v>6557769</c:v>
                </c:pt>
                <c:pt idx="1">
                  <c:v>8280764</c:v>
                </c:pt>
                <c:pt idx="2">
                  <c:v>8105464</c:v>
                </c:pt>
                <c:pt idx="3">
                  <c:v>8182730</c:v>
                </c:pt>
                <c:pt idx="4">
                  <c:v>9569050</c:v>
                </c:pt>
                <c:pt idx="5">
                  <c:v>10464574</c:v>
                </c:pt>
                <c:pt idx="6">
                  <c:v>10788499</c:v>
                </c:pt>
                <c:pt idx="7">
                  <c:v>10230107</c:v>
                </c:pt>
                <c:pt idx="8">
                  <c:v>11851867</c:v>
                </c:pt>
                <c:pt idx="9">
                  <c:v>12574466</c:v>
                </c:pt>
                <c:pt idx="10">
                  <c:v>15829050</c:v>
                </c:pt>
                <c:pt idx="11">
                  <c:v>17072669</c:v>
                </c:pt>
                <c:pt idx="12">
                  <c:v>18677331</c:v>
                </c:pt>
                <c:pt idx="13">
                  <c:v>15048748</c:v>
                </c:pt>
                <c:pt idx="14">
                  <c:v>17119030.883000001</c:v>
                </c:pt>
                <c:pt idx="15">
                  <c:v>18748015</c:v>
                </c:pt>
                <c:pt idx="16">
                  <c:v>19537292</c:v>
                </c:pt>
                <c:pt idx="17">
                  <c:v>19797360.276000001</c:v>
                </c:pt>
                <c:pt idx="18">
                  <c:v>20348090.798999999</c:v>
                </c:pt>
                <c:pt idx="19">
                  <c:v>20863282</c:v>
                </c:pt>
                <c:pt idx="20">
                  <c:v>21526064</c:v>
                </c:pt>
              </c:numCache>
            </c:numRef>
          </c:val>
        </c:ser>
        <c:dLbls>
          <c:dLblPos val="ctr"/>
          <c:showLegendKey val="0"/>
          <c:showVal val="1"/>
          <c:showCatName val="0"/>
          <c:showSerName val="0"/>
          <c:showPercent val="0"/>
          <c:showBubbleSize val="0"/>
        </c:dLbls>
        <c:gapWidth val="150"/>
        <c:axId val="67996288"/>
        <c:axId val="67998080"/>
      </c:barChart>
      <c:catAx>
        <c:axId val="67996288"/>
        <c:scaling>
          <c:orientation val="minMax"/>
        </c:scaling>
        <c:delete val="0"/>
        <c:axPos val="b"/>
        <c:numFmt formatCode="General" sourceLinked="1"/>
        <c:majorTickMark val="none"/>
        <c:minorTickMark val="none"/>
        <c:tickLblPos val="nextTo"/>
        <c:txPr>
          <a:bodyPr rot="-3600000"/>
          <a:lstStyle/>
          <a:p>
            <a:pPr>
              <a:defRPr/>
            </a:pPr>
            <a:endParaRPr lang="de-DE"/>
          </a:p>
        </c:txPr>
        <c:crossAx val="67998080"/>
        <c:crosses val="autoZero"/>
        <c:auto val="0"/>
        <c:lblAlgn val="ctr"/>
        <c:lblOffset val="100"/>
        <c:noMultiLvlLbl val="0"/>
      </c:catAx>
      <c:valAx>
        <c:axId val="67998080"/>
        <c:scaling>
          <c:orientation val="minMax"/>
          <c:max val="22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67996288"/>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txPr>
              <a:bodyPr/>
              <a:lstStyle/>
              <a:p>
                <a:pPr>
                  <a:defRPr sz="800"/>
                </a:pPr>
                <a:endParaRPr lang="de-DE"/>
              </a:p>
            </c:txPr>
            <c:dLblPos val="inBase"/>
            <c:showLegendKey val="0"/>
            <c:showVal val="1"/>
            <c:showCatName val="0"/>
            <c:showSerName val="0"/>
            <c:showPercent val="0"/>
            <c:showBubbleSize val="0"/>
            <c:showLeaderLines val="0"/>
          </c:dLbls>
          <c:cat>
            <c:strRef>
              <c:f>DatenBesch_1!$B$5:$B$22</c:f>
              <c:strCache>
                <c:ptCount val="18"/>
                <c:pt idx="0">
                  <c:v>16 H.v. Holzwaren</c:v>
                </c:pt>
                <c:pt idx="1">
                  <c:v>23 H.v. Glas, Glaswaren</c:v>
                </c:pt>
                <c:pt idx="2">
                  <c:v>27 H.v. Elektromotoren</c:v>
                </c:pt>
                <c:pt idx="3">
                  <c:v>26 H.v. elektron. Erzeugnissen</c:v>
                </c:pt>
                <c:pt idx="4">
                  <c:v>18 H.v. Druckerzeugnissen</c:v>
                </c:pt>
                <c:pt idx="5">
                  <c:v>30 Sonstiger Fahrzeugbau</c:v>
                </c:pt>
                <c:pt idx="6">
                  <c:v>24 Metallerzeugung</c:v>
                </c:pt>
                <c:pt idx="7">
                  <c:v>28 H.v. Maschinen</c:v>
                </c:pt>
                <c:pt idx="8">
                  <c:v>19 Kokerei u. Mineralölverarb.</c:v>
                </c:pt>
                <c:pt idx="9">
                  <c:v>25 H.v. Metallerzeugnissen</c:v>
                </c:pt>
                <c:pt idx="10">
                  <c:v>B + C Verarbeitendes Gewerbe</c:v>
                </c:pt>
                <c:pt idx="11">
                  <c:v>21 H.v. pharmazeut. Erzeugnissen</c:v>
                </c:pt>
                <c:pt idx="12">
                  <c:v>20 H.v. chemischen Erzeugnissen</c:v>
                </c:pt>
                <c:pt idx="13">
                  <c:v>33 Reparatur von Maschinen</c:v>
                </c:pt>
                <c:pt idx="14">
                  <c:v>10 H.v. Nahrungsmitteln</c:v>
                </c:pt>
                <c:pt idx="15">
                  <c:v>32 H.v. sonstigen Waren</c:v>
                </c:pt>
                <c:pt idx="16">
                  <c:v>11 Getränkeherstellung</c:v>
                </c:pt>
                <c:pt idx="17">
                  <c:v>22 H.v. Gummi/Kunststoff</c:v>
                </c:pt>
              </c:strCache>
            </c:strRef>
          </c:cat>
          <c:val>
            <c:numRef>
              <c:f>DatenBesch_1!$E$5:$E$22</c:f>
              <c:numCache>
                <c:formatCode>###\ ##0.0;\-###\ ##0.0;\-</c:formatCode>
                <c:ptCount val="18"/>
                <c:pt idx="0">
                  <c:v>27.044025157232696</c:v>
                </c:pt>
                <c:pt idx="1">
                  <c:v>24.528301886792448</c:v>
                </c:pt>
                <c:pt idx="2">
                  <c:v>-1.4809590973201665</c:v>
                </c:pt>
                <c:pt idx="3">
                  <c:v>-2.5223435948361583</c:v>
                </c:pt>
                <c:pt idx="4">
                  <c:v>-7.3333333333333428</c:v>
                </c:pt>
                <c:pt idx="5">
                  <c:v>1.4633254069873658</c:v>
                </c:pt>
                <c:pt idx="6">
                  <c:v>2.0413436692506366</c:v>
                </c:pt>
                <c:pt idx="7">
                  <c:v>-0.52689961175818212</c:v>
                </c:pt>
                <c:pt idx="8">
                  <c:v>-2.3815755037948207</c:v>
                </c:pt>
                <c:pt idx="9">
                  <c:v>-3.201396973224675</c:v>
                </c:pt>
                <c:pt idx="10">
                  <c:v>0.42512438392002139</c:v>
                </c:pt>
                <c:pt idx="11">
                  <c:v>4.4045676998368606</c:v>
                </c:pt>
                <c:pt idx="12">
                  <c:v>6.3140404320132859</c:v>
                </c:pt>
                <c:pt idx="13">
                  <c:v>0.77470554890722099</c:v>
                </c:pt>
                <c:pt idx="14">
                  <c:v>-0.13865352025882771</c:v>
                </c:pt>
                <c:pt idx="15">
                  <c:v>4.0174249757986473</c:v>
                </c:pt>
                <c:pt idx="16">
                  <c:v>2.6865671641790954</c:v>
                </c:pt>
                <c:pt idx="17">
                  <c:v>-4.4375353306953116</c:v>
                </c:pt>
              </c:numCache>
            </c:numRef>
          </c:val>
        </c:ser>
        <c:dLbls>
          <c:dLblPos val="inBase"/>
          <c:showLegendKey val="0"/>
          <c:showVal val="1"/>
          <c:showCatName val="0"/>
          <c:showSerName val="0"/>
          <c:showPercent val="0"/>
          <c:showBubbleSize val="0"/>
        </c:dLbls>
        <c:gapWidth val="150"/>
        <c:axId val="68025728"/>
        <c:axId val="68086400"/>
      </c:barChart>
      <c:catAx>
        <c:axId val="6802572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086400"/>
        <c:crossesAt val="0"/>
        <c:auto val="1"/>
        <c:lblAlgn val="ctr"/>
        <c:lblOffset val="100"/>
        <c:tickLblSkip val="1"/>
        <c:tickMarkSkip val="1"/>
        <c:noMultiLvlLbl val="0"/>
      </c:catAx>
      <c:valAx>
        <c:axId val="68086400"/>
        <c:scaling>
          <c:orientation val="minMax"/>
          <c:min val="-4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8025728"/>
        <c:crosses val="autoZero"/>
        <c:crossBetween val="between"/>
        <c:majorUnit val="5"/>
        <c:minorUnit val="5"/>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3"/>
              <c:layout>
                <c:manualLayout>
                  <c:x val="-9.5198272629714392E-2"/>
                  <c:y val="0"/>
                </c:manualLayout>
              </c:layout>
              <c:dLblPos val="outEnd"/>
              <c:showLegendKey val="0"/>
              <c:showVal val="1"/>
              <c:showCatName val="0"/>
              <c:showSerName val="0"/>
              <c:showPercent val="0"/>
              <c:showBubbleSize val="0"/>
            </c:dLbl>
            <c:dLbl>
              <c:idx val="12"/>
              <c:layout>
                <c:manualLayout>
                  <c:x val="-5.1695899965903562E-2"/>
                  <c:y val="0"/>
                </c:manualLayout>
              </c:layout>
              <c:dLblPos val="outEnd"/>
              <c:showLegendKey val="0"/>
              <c:showVal val="1"/>
              <c:showCatName val="0"/>
              <c:showSerName val="0"/>
              <c:showPercent val="0"/>
              <c:showBubbleSize val="0"/>
            </c:dLbl>
            <c:dLbl>
              <c:idx val="13"/>
              <c:layout>
                <c:manualLayout>
                  <c:x val="-5.506885051433684E-2"/>
                  <c:y val="-1.2173802949955931E-7"/>
                </c:manualLayout>
              </c:layout>
              <c:dLblPos val="outEnd"/>
              <c:showLegendKey val="0"/>
              <c:showVal val="1"/>
              <c:showCatName val="0"/>
              <c:showSerName val="0"/>
              <c:showPercent val="0"/>
              <c:showBubbleSize val="0"/>
            </c:dLbl>
            <c:dLbl>
              <c:idx val="16"/>
              <c:layout>
                <c:manualLayout>
                  <c:x val="-0.10393315422230376"/>
                  <c:y val="1.5460729746444033E-3"/>
                </c:manualLayout>
              </c:layout>
              <c:dLblPos val="outEnd"/>
              <c:showLegendKey val="0"/>
              <c:showVal val="1"/>
              <c:showCatName val="0"/>
              <c:showSerName val="0"/>
              <c:showPercent val="0"/>
              <c:showBubbleSize val="0"/>
            </c:dLbl>
            <c:txPr>
              <a:bodyPr/>
              <a:lstStyle/>
              <a:p>
                <a:pPr>
                  <a:defRPr sz="800"/>
                </a:pPr>
                <a:endParaRPr lang="de-DE"/>
              </a:p>
            </c:txPr>
            <c:dLblPos val="inBase"/>
            <c:showLegendKey val="0"/>
            <c:showVal val="1"/>
            <c:showCatName val="0"/>
            <c:showSerName val="0"/>
            <c:showPercent val="0"/>
            <c:showBubbleSize val="0"/>
            <c:showLeaderLines val="0"/>
          </c:dLbls>
          <c:cat>
            <c:strRef>
              <c:f>DatenUMs_1!$B$5:$B$22</c:f>
              <c:strCache>
                <c:ptCount val="18"/>
                <c:pt idx="0">
                  <c:v>11 Getränkeherstellung</c:v>
                </c:pt>
                <c:pt idx="1">
                  <c:v>16 H.v. Holzwaren</c:v>
                </c:pt>
                <c:pt idx="2">
                  <c:v>23 H.v. Glas, Glaswaren</c:v>
                </c:pt>
                <c:pt idx="3">
                  <c:v>19 Kokerei u. Mineralölverarb.</c:v>
                </c:pt>
                <c:pt idx="4">
                  <c:v>B + C Verarbeitendes Gewerbe</c:v>
                </c:pt>
                <c:pt idx="5">
                  <c:v>18 H.v. Druckerzeugnissen</c:v>
                </c:pt>
                <c:pt idx="6">
                  <c:v>28 H.v. Maschinen</c:v>
                </c:pt>
                <c:pt idx="7">
                  <c:v>25 H.v. Metallerzeugnissen</c:v>
                </c:pt>
                <c:pt idx="8">
                  <c:v>24 Metallerzeugung</c:v>
                </c:pt>
                <c:pt idx="9">
                  <c:v>27 H.v. Elektromotoren</c:v>
                </c:pt>
                <c:pt idx="10">
                  <c:v>10 H.v. Nahrungsmitteln</c:v>
                </c:pt>
                <c:pt idx="11">
                  <c:v>21 H.v. pharmazeut. Erzeugnissen</c:v>
                </c:pt>
                <c:pt idx="12">
                  <c:v>20 H.v. chemischen Erzeugnissen</c:v>
                </c:pt>
                <c:pt idx="13">
                  <c:v>32 H.v. sonstigen Waren</c:v>
                </c:pt>
                <c:pt idx="14">
                  <c:v>26 H.v. elektron. Erzeugnissen</c:v>
                </c:pt>
                <c:pt idx="15">
                  <c:v>22 H.v. Gummi/Kunststoff</c:v>
                </c:pt>
                <c:pt idx="16">
                  <c:v>33 Reparatur von Maschinen</c:v>
                </c:pt>
                <c:pt idx="17">
                  <c:v>30 Sonstiger Fahrzeugbau</c:v>
                </c:pt>
              </c:strCache>
            </c:strRef>
          </c:cat>
          <c:val>
            <c:numRef>
              <c:f>DatenUMs_1!$E$5:$E$22</c:f>
              <c:numCache>
                <c:formatCode>###\ ##0.0;\-###\ ##0.0;\-</c:formatCode>
                <c:ptCount val="18"/>
                <c:pt idx="0" formatCode="\ \ 0.0\ \ ">
                  <c:v>30.632802422693032</c:v>
                </c:pt>
                <c:pt idx="1">
                  <c:v>1.3241859349782885</c:v>
                </c:pt>
                <c:pt idx="2">
                  <c:v>27.340931793995765</c:v>
                </c:pt>
                <c:pt idx="3">
                  <c:v>-8.0974038273512718</c:v>
                </c:pt>
                <c:pt idx="4">
                  <c:v>-3.3095764233036675</c:v>
                </c:pt>
                <c:pt idx="5">
                  <c:v>-5.3005672987077332</c:v>
                </c:pt>
                <c:pt idx="6">
                  <c:v>-0.14276930147525491</c:v>
                </c:pt>
                <c:pt idx="7">
                  <c:v>2.407815770079651</c:v>
                </c:pt>
                <c:pt idx="8">
                  <c:v>-10.117123990815927</c:v>
                </c:pt>
                <c:pt idx="9">
                  <c:v>-5.8096002682375882</c:v>
                </c:pt>
                <c:pt idx="10">
                  <c:v>1.6365929062392297</c:v>
                </c:pt>
                <c:pt idx="11">
                  <c:v>15.536591889670873</c:v>
                </c:pt>
                <c:pt idx="12">
                  <c:v>6.0437640962183679</c:v>
                </c:pt>
                <c:pt idx="13">
                  <c:v>9.8092906751479063</c:v>
                </c:pt>
                <c:pt idx="14">
                  <c:v>1.1397683198731841</c:v>
                </c:pt>
                <c:pt idx="15">
                  <c:v>2.1965958673904993</c:v>
                </c:pt>
                <c:pt idx="16">
                  <c:v>0.17332629133895239</c:v>
                </c:pt>
                <c:pt idx="17" formatCode="0.0">
                  <c:v>12.751837184870169</c:v>
                </c:pt>
              </c:numCache>
            </c:numRef>
          </c:val>
        </c:ser>
        <c:dLbls>
          <c:dLblPos val="inBase"/>
          <c:showLegendKey val="0"/>
          <c:showVal val="1"/>
          <c:showCatName val="0"/>
          <c:showSerName val="0"/>
          <c:showPercent val="0"/>
          <c:showBubbleSize val="0"/>
        </c:dLbls>
        <c:gapWidth val="150"/>
        <c:axId val="68151168"/>
        <c:axId val="68330624"/>
      </c:barChart>
      <c:catAx>
        <c:axId val="681511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68330624"/>
        <c:crossesAt val="0"/>
        <c:auto val="1"/>
        <c:lblAlgn val="ctr"/>
        <c:lblOffset val="100"/>
        <c:tickLblSkip val="1"/>
        <c:tickMarkSkip val="1"/>
        <c:noMultiLvlLbl val="0"/>
      </c:catAx>
      <c:valAx>
        <c:axId val="68330624"/>
        <c:scaling>
          <c:orientation val="minMax"/>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6815116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0</xdr:colOff>
      <xdr:row>35</xdr:row>
      <xdr:rowOff>142875</xdr:rowOff>
    </xdr:from>
    <xdr:to>
      <xdr:col>6</xdr:col>
      <xdr:colOff>864450</xdr:colOff>
      <xdr:row>52</xdr:row>
      <xdr:rowOff>119904</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086600"/>
          <a:ext cx="6408000" cy="27297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15875</xdr:colOff>
      <xdr:row>0</xdr:row>
      <xdr:rowOff>45620</xdr:rowOff>
    </xdr:from>
    <xdr:to>
      <xdr:col>2</xdr:col>
      <xdr:colOff>15875</xdr:colOff>
      <xdr:row>51</xdr:row>
      <xdr:rowOff>85725</xdr:rowOff>
    </xdr:to>
    <xdr:sp macro="" textlink="">
      <xdr:nvSpPr>
        <xdr:cNvPr id="4" name="Textfeld 3"/>
        <xdr:cNvSpPr txBox="1"/>
      </xdr:nvSpPr>
      <xdr:spPr>
        <a:xfrm>
          <a:off x="15875" y="45620"/>
          <a:ext cx="5943600" cy="102604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tätigen</a:t>
          </a:r>
          <a:r>
            <a:rPr lang="de-DE" sz="900" baseline="0">
              <a:latin typeface="Arial" panose="020B0604020202020204" pitchFamily="34" charset="0"/>
              <a:cs typeface="Arial" panose="020B0604020202020204" pitchFamily="34" charset="0"/>
            </a:rPr>
            <a:t> Personen </a:t>
          </a:r>
          <a:r>
            <a:rPr lang="de-DE" sz="900">
              <a:latin typeface="Arial" panose="020B0604020202020204" pitchFamily="34" charset="0"/>
              <a:cs typeface="Arial" panose="020B0604020202020204" pitchFamily="34" charset="0"/>
            </a:rPr>
            <a:t>und einmal jährlich Betriebe von Unternehmen mit im allgemeinen 20 und mehr tätigen</a:t>
          </a:r>
          <a:r>
            <a:rPr lang="de-DE" sz="900" baseline="0">
              <a:latin typeface="Arial" panose="020B0604020202020204" pitchFamily="34" charset="0"/>
              <a:cs typeface="Arial" panose="020B0604020202020204" pitchFamily="34" charset="0"/>
            </a:rPr>
            <a:t> Personen</a:t>
          </a:r>
          <a:r>
            <a:rPr lang="de-DE" sz="900">
              <a:latin typeface="Arial" panose="020B0604020202020204" pitchFamily="34" charset="0"/>
              <a:cs typeface="Arial" panose="020B0604020202020204" pitchFamily="34" charset="0"/>
            </a:rPr>
            <a:t>, die nicht zum Monatsbericht melden, befragt.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Der hier vorliegende Bericht enthält die zusammengefassten Ergebnisse aus den monatlichen und</a:t>
          </a:r>
          <a:r>
            <a:rPr lang="de-DE" sz="900" baseline="0">
              <a:latin typeface="Arial" panose="020B0604020202020204" pitchFamily="34" charset="0"/>
              <a:cs typeface="Arial" panose="020B0604020202020204" pitchFamily="34" charset="0"/>
            </a:rPr>
            <a:t> </a:t>
          </a:r>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r>
            <a:rPr lang="de-DE" sz="900" b="0">
              <a:solidFill>
                <a:schemeClr val="dk1"/>
              </a:solidFill>
              <a:latin typeface="Arial" panose="020B0604020202020204" pitchFamily="34" charset="0"/>
              <a:ea typeface="+mn-ea"/>
              <a:cs typeface="Arial" panose="020B0604020202020204" pitchFamily="34" charset="0"/>
            </a:rPr>
            <a:t> </a:t>
          </a:r>
        </a:p>
        <a:p>
          <a:pPr indent="-144000"/>
          <a:r>
            <a:rPr lang="de-DE" sz="900" b="0">
              <a:solidFill>
                <a:schemeClr val="dk1"/>
              </a:solidFill>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tätigen Personen </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tätigen</a:t>
          </a:r>
          <a:r>
            <a:rPr lang="de-DE" sz="900" b="0" baseline="0">
              <a:latin typeface="Arial" panose="020B0604020202020204" pitchFamily="34" charset="0"/>
              <a:cs typeface="Arial" panose="020B0604020202020204" pitchFamily="34" charset="0"/>
            </a:rPr>
            <a:t> Person</a:t>
          </a:r>
          <a:r>
            <a:rPr lang="de-DE" sz="900" b="0">
              <a:latin typeface="Arial" panose="020B0604020202020204" pitchFamily="34" charset="0"/>
              <a:cs typeface="Arial" panose="020B0604020202020204" pitchFamily="34" charset="0"/>
            </a:rPr>
            <a: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tätige</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Personen </a:t>
          </a:r>
          <a:r>
            <a:rPr lang="de-DE" sz="900" b="0" i="0" u="none" strike="noStrike">
              <a:solidFill>
                <a:schemeClr val="dk1"/>
              </a:solidFill>
              <a:effectLst/>
              <a:latin typeface="Arial" panose="020B0604020202020204" pitchFamily="34" charset="0"/>
              <a:ea typeface="+mn-ea"/>
              <a:cs typeface="Arial" panose="020B0604020202020204" pitchFamily="34" charset="0"/>
            </a:rPr>
            <a:t>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104775</xdr:colOff>
      <xdr:row>53</xdr:row>
      <xdr:rowOff>47185</xdr:rowOff>
    </xdr:from>
    <xdr:to>
      <xdr:col>2</xdr:col>
      <xdr:colOff>76787</xdr:colOff>
      <xdr:row>102</xdr:row>
      <xdr:rowOff>9525</xdr:rowOff>
    </xdr:to>
    <xdr:sp macro="" textlink="">
      <xdr:nvSpPr>
        <xdr:cNvPr id="5" name="Textfeld 4"/>
        <xdr:cNvSpPr txBox="1"/>
      </xdr:nvSpPr>
      <xdr:spPr>
        <a:xfrm>
          <a:off x="104775" y="10591360"/>
          <a:ext cx="5915612" cy="78966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a:t>
          </a:r>
          <a:r>
            <a:rPr lang="de-DE" sz="900" b="0" i="0" u="none" strike="noStrike" baseline="0">
              <a:solidFill>
                <a:schemeClr val="dk1"/>
              </a:solidFill>
              <a:effectLst/>
              <a:latin typeface="Arial" panose="020B0604020202020204" pitchFamily="34" charset="0"/>
              <a:ea typeface="+mn-ea"/>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3</xdr:row>
      <xdr:rowOff>95250</xdr:rowOff>
    </xdr:from>
    <xdr:to>
      <xdr:col>0</xdr:col>
      <xdr:colOff>5781676</xdr:colOff>
      <xdr:row>23</xdr:row>
      <xdr:rowOff>9525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23</xdr:row>
      <xdr:rowOff>76200</xdr:rowOff>
    </xdr:from>
    <xdr:to>
      <xdr:col>0</xdr:col>
      <xdr:colOff>5781676</xdr:colOff>
      <xdr:row>43</xdr:row>
      <xdr:rowOff>28575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0</xdr:rowOff>
    </xdr:from>
    <xdr:to>
      <xdr:col>0</xdr:col>
      <xdr:colOff>5791199</xdr:colOff>
      <xdr:row>64</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4</xdr:row>
      <xdr:rowOff>114300</xdr:rowOff>
    </xdr:from>
    <xdr:to>
      <xdr:col>1</xdr:col>
      <xdr:colOff>0</xdr:colOff>
      <xdr:row>56</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6086475</xdr:colOff>
      <xdr:row>55</xdr:row>
      <xdr:rowOff>133350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zoomScaleNormal="100" workbookViewId="0"/>
  </sheetViews>
  <sheetFormatPr baseColWidth="10" defaultColWidth="11.28515625" defaultRowHeight="12.75"/>
  <cols>
    <col min="1" max="7" width="13.140625" style="2" customWidth="1"/>
    <col min="8" max="8" width="10.7109375" style="2" customWidth="1"/>
    <col min="9" max="26" width="1.7109375" style="2" customWidth="1"/>
    <col min="27" max="74" width="12.140625" style="2" customWidth="1"/>
    <col min="75" max="16384" width="11.28515625" style="2"/>
  </cols>
  <sheetData>
    <row r="1" spans="1:7" ht="12.75" customHeight="1"/>
    <row r="2" spans="1:7" ht="12.75" customHeight="1"/>
    <row r="3" spans="1:7" ht="20.25" customHeight="1">
      <c r="A3" s="210" t="s">
        <v>10</v>
      </c>
      <c r="B3" s="210"/>
      <c r="C3" s="210"/>
      <c r="D3" s="210"/>
    </row>
    <row r="4" spans="1:7" ht="20.25">
      <c r="A4" s="210" t="s">
        <v>11</v>
      </c>
      <c r="B4" s="210"/>
      <c r="C4" s="210"/>
      <c r="D4" s="210"/>
    </row>
    <row r="5" spans="1:7" ht="12.75" customHeight="1"/>
    <row r="6" spans="1:7" ht="12.75" customHeight="1"/>
    <row r="7" spans="1:7" ht="12.75" customHeight="1"/>
    <row r="8" spans="1:7" ht="12.75" customHeight="1"/>
    <row r="11" spans="1:7" ht="15">
      <c r="A11" s="3"/>
      <c r="F11" s="4"/>
      <c r="G11" s="5"/>
    </row>
    <row r="13" spans="1:7">
      <c r="A13" s="6"/>
    </row>
    <row r="15" spans="1:7" ht="23.25">
      <c r="D15" s="211" t="s">
        <v>127</v>
      </c>
      <c r="E15" s="211"/>
      <c r="F15" s="211"/>
      <c r="G15" s="211"/>
    </row>
    <row r="16" spans="1:7" ht="15">
      <c r="D16" s="212" t="s">
        <v>302</v>
      </c>
      <c r="E16" s="212"/>
      <c r="F16" s="212"/>
      <c r="G16" s="212"/>
    </row>
    <row r="18" spans="1:7" ht="33">
      <c r="A18" s="214" t="s">
        <v>126</v>
      </c>
      <c r="B18" s="214"/>
      <c r="C18" s="214"/>
      <c r="D18" s="214"/>
      <c r="E18" s="214"/>
      <c r="F18" s="214"/>
      <c r="G18" s="214"/>
    </row>
    <row r="19" spans="1:7" ht="33">
      <c r="A19" s="213" t="s">
        <v>128</v>
      </c>
      <c r="B19" s="213"/>
      <c r="C19" s="213"/>
      <c r="D19" s="213"/>
      <c r="E19" s="213"/>
      <c r="F19" s="213"/>
      <c r="G19" s="213"/>
    </row>
    <row r="20" spans="1:7" ht="33">
      <c r="A20" s="214" t="s">
        <v>303</v>
      </c>
      <c r="B20" s="214"/>
      <c r="C20" s="214"/>
      <c r="D20" s="214"/>
      <c r="E20" s="214"/>
      <c r="F20" s="214"/>
      <c r="G20" s="214"/>
    </row>
    <row r="21" spans="1:7" ht="15">
      <c r="A21" s="215" t="s">
        <v>289</v>
      </c>
      <c r="B21" s="215"/>
      <c r="C21" s="215"/>
      <c r="D21" s="215"/>
      <c r="E21" s="215"/>
      <c r="F21" s="215"/>
      <c r="G21" s="215"/>
    </row>
    <row r="22" spans="1:7" ht="16.5">
      <c r="B22" s="7"/>
      <c r="C22" s="7"/>
      <c r="D22" s="7"/>
      <c r="E22" s="7"/>
      <c r="F22" s="7"/>
      <c r="G22" s="7"/>
    </row>
    <row r="23" spans="1:7" ht="16.5">
      <c r="A23" s="7"/>
      <c r="D23" s="209" t="s">
        <v>320</v>
      </c>
      <c r="E23" s="209"/>
      <c r="F23" s="209"/>
      <c r="G23" s="209"/>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 1 - j 14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E22" sqref="E22"/>
    </sheetView>
  </sheetViews>
  <sheetFormatPr baseColWidth="10" defaultColWidth="11.42578125" defaultRowHeight="12.75"/>
  <cols>
    <col min="1" max="1" width="5" style="126" bestFit="1" customWidth="1"/>
    <col min="2" max="2" width="20.42578125" style="124" customWidth="1"/>
    <col min="3" max="3" width="9.28515625" style="124"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60" t="s">
        <v>262</v>
      </c>
      <c r="B2" s="260" t="s">
        <v>263</v>
      </c>
      <c r="C2" s="128" t="s">
        <v>291</v>
      </c>
      <c r="D2" s="129"/>
      <c r="E2" s="262" t="s">
        <v>264</v>
      </c>
    </row>
    <row r="3" spans="1:5">
      <c r="A3" s="261"/>
      <c r="B3" s="261"/>
      <c r="C3" s="264">
        <v>2015</v>
      </c>
      <c r="D3" s="266">
        <v>2016</v>
      </c>
      <c r="E3" s="263"/>
    </row>
    <row r="4" spans="1:5">
      <c r="C4" s="265"/>
      <c r="D4" s="267"/>
    </row>
    <row r="5" spans="1:5">
      <c r="B5" s="124" t="s">
        <v>267</v>
      </c>
      <c r="C5" s="190">
        <v>159</v>
      </c>
      <c r="D5" s="190">
        <v>202</v>
      </c>
      <c r="E5" s="191">
        <f t="shared" ref="E5:E22" si="0">D5/C5*100-100</f>
        <v>27.044025157232696</v>
      </c>
    </row>
    <row r="6" spans="1:5">
      <c r="A6" s="126">
        <v>134</v>
      </c>
      <c r="B6" s="124" t="s">
        <v>273</v>
      </c>
      <c r="C6" s="190">
        <v>371</v>
      </c>
      <c r="D6" s="190">
        <v>462</v>
      </c>
      <c r="E6" s="191">
        <f t="shared" si="0"/>
        <v>24.528301886792448</v>
      </c>
    </row>
    <row r="7" spans="1:5">
      <c r="A7" s="126">
        <v>143</v>
      </c>
      <c r="B7" s="124" t="s">
        <v>277</v>
      </c>
      <c r="C7" s="190">
        <v>1418</v>
      </c>
      <c r="D7" s="190">
        <v>1397</v>
      </c>
      <c r="E7" s="191">
        <f t="shared" si="0"/>
        <v>-1.4809590973201665</v>
      </c>
    </row>
    <row r="8" spans="1:5">
      <c r="A8" s="132" t="s">
        <v>282</v>
      </c>
      <c r="B8" s="124" t="s">
        <v>276</v>
      </c>
      <c r="C8" s="190">
        <v>5035</v>
      </c>
      <c r="D8" s="190">
        <v>4908</v>
      </c>
      <c r="E8" s="191">
        <f t="shared" si="0"/>
        <v>-2.5223435948361583</v>
      </c>
    </row>
    <row r="9" spans="1:5">
      <c r="A9" s="126">
        <v>231</v>
      </c>
      <c r="B9" s="124" t="s">
        <v>268</v>
      </c>
      <c r="C9" s="190">
        <v>1350</v>
      </c>
      <c r="D9" s="190">
        <v>1251</v>
      </c>
      <c r="E9" s="191">
        <f t="shared" si="0"/>
        <v>-7.3333333333333428</v>
      </c>
    </row>
    <row r="10" spans="1:5">
      <c r="A10" s="132" t="s">
        <v>280</v>
      </c>
      <c r="B10" s="124" t="s">
        <v>279</v>
      </c>
      <c r="C10" s="190">
        <v>16401</v>
      </c>
      <c r="D10" s="190">
        <v>16641</v>
      </c>
      <c r="E10" s="191">
        <f t="shared" si="0"/>
        <v>1.4633254069873658</v>
      </c>
    </row>
    <row r="11" spans="1:5">
      <c r="A11" s="126">
        <v>338</v>
      </c>
      <c r="B11" s="124" t="s">
        <v>274</v>
      </c>
      <c r="C11" s="190">
        <v>3870</v>
      </c>
      <c r="D11" s="190">
        <v>3949</v>
      </c>
      <c r="E11" s="191">
        <f t="shared" si="0"/>
        <v>2.0413436692506366</v>
      </c>
    </row>
    <row r="12" spans="1:5">
      <c r="A12" s="126">
        <v>333</v>
      </c>
      <c r="B12" s="124" t="s">
        <v>278</v>
      </c>
      <c r="C12" s="190">
        <v>10818</v>
      </c>
      <c r="D12" s="190">
        <v>10761</v>
      </c>
      <c r="E12" s="191">
        <f t="shared" si="0"/>
        <v>-0.52689961175818212</v>
      </c>
    </row>
    <row r="13" spans="1:5">
      <c r="A13" s="126">
        <v>232</v>
      </c>
      <c r="B13" s="124" t="s">
        <v>269</v>
      </c>
      <c r="C13" s="190">
        <v>3821</v>
      </c>
      <c r="D13" s="190">
        <v>3730</v>
      </c>
      <c r="E13" s="191">
        <f t="shared" si="0"/>
        <v>-2.3815755037948207</v>
      </c>
    </row>
    <row r="14" spans="1:5">
      <c r="A14" s="126">
        <v>133</v>
      </c>
      <c r="B14" s="124" t="s">
        <v>275</v>
      </c>
      <c r="C14" s="190">
        <v>1718</v>
      </c>
      <c r="D14" s="190">
        <v>1663</v>
      </c>
      <c r="E14" s="191">
        <f t="shared" si="0"/>
        <v>-3.201396973224675</v>
      </c>
    </row>
    <row r="15" spans="1:5">
      <c r="A15" s="126">
        <v>332</v>
      </c>
      <c r="B15" s="133" t="s">
        <v>284</v>
      </c>
      <c r="C15" s="190">
        <v>85622</v>
      </c>
      <c r="D15" s="190">
        <v>85986</v>
      </c>
      <c r="E15" s="191">
        <f t="shared" si="0"/>
        <v>0.42512438392002139</v>
      </c>
    </row>
    <row r="16" spans="1:5">
      <c r="A16" s="126">
        <v>336</v>
      </c>
      <c r="B16" s="124" t="s">
        <v>271</v>
      </c>
      <c r="C16" s="190">
        <v>1226</v>
      </c>
      <c r="D16" s="190">
        <v>1280</v>
      </c>
      <c r="E16" s="191">
        <f t="shared" si="0"/>
        <v>4.4045676998368606</v>
      </c>
    </row>
    <row r="17" spans="1:5">
      <c r="A17" s="126">
        <v>335</v>
      </c>
      <c r="B17" s="124" t="s">
        <v>270</v>
      </c>
      <c r="C17" s="190">
        <v>3611</v>
      </c>
      <c r="D17" s="190">
        <v>3839</v>
      </c>
      <c r="E17" s="191">
        <f t="shared" si="0"/>
        <v>6.3140404320132859</v>
      </c>
    </row>
    <row r="18" spans="1:5">
      <c r="A18" s="126">
        <v>233</v>
      </c>
      <c r="B18" s="124" t="s">
        <v>283</v>
      </c>
      <c r="C18" s="190">
        <v>15877</v>
      </c>
      <c r="D18" s="190">
        <v>16000</v>
      </c>
      <c r="E18" s="191">
        <f t="shared" si="0"/>
        <v>0.77470554890722099</v>
      </c>
    </row>
    <row r="19" spans="1:5">
      <c r="A19" s="126">
        <v>235</v>
      </c>
      <c r="B19" s="124" t="s">
        <v>265</v>
      </c>
      <c r="C19" s="190">
        <v>6491</v>
      </c>
      <c r="D19" s="190">
        <v>6482</v>
      </c>
      <c r="E19" s="191">
        <f t="shared" si="0"/>
        <v>-0.13865352025882771</v>
      </c>
    </row>
    <row r="20" spans="1:5">
      <c r="A20" s="126">
        <v>334</v>
      </c>
      <c r="B20" s="124" t="s">
        <v>281</v>
      </c>
      <c r="C20" s="190">
        <v>4132</v>
      </c>
      <c r="D20" s="190">
        <v>4298</v>
      </c>
      <c r="E20" s="191">
        <f t="shared" si="0"/>
        <v>4.0174249757986473</v>
      </c>
    </row>
    <row r="21" spans="1:5">
      <c r="A21" s="126">
        <v>331</v>
      </c>
      <c r="B21" s="124" t="s">
        <v>266</v>
      </c>
      <c r="C21" s="190">
        <v>335</v>
      </c>
      <c r="D21" s="190">
        <v>344</v>
      </c>
      <c r="E21" s="191">
        <f t="shared" si="0"/>
        <v>2.6865671641790954</v>
      </c>
    </row>
    <row r="22" spans="1:5">
      <c r="A22" s="126">
        <v>140</v>
      </c>
      <c r="B22" s="124" t="s">
        <v>272</v>
      </c>
      <c r="C22" s="190">
        <v>3538</v>
      </c>
      <c r="D22" s="190">
        <v>3381</v>
      </c>
      <c r="E22" s="191">
        <f t="shared" si="0"/>
        <v>-4.4375353306953116</v>
      </c>
    </row>
    <row r="24" spans="1:5">
      <c r="A24" s="132"/>
      <c r="C24" s="130"/>
      <c r="D24" s="130"/>
      <c r="E24" s="131"/>
    </row>
    <row r="25" spans="1:5">
      <c r="A25" s="132"/>
      <c r="C25" s="130"/>
      <c r="D25" s="130"/>
      <c r="E25" s="131"/>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r:id="rId1"/>
  <headerFooter>
    <oddFooter>&amp;L&amp;"Arial,Standard"&amp;8Statistikamt Nord&amp;C&amp;"Arial,Standard"&amp;8&amp;P&amp;R&amp;"Arial,Standard"&amp;8Statistischer Bericht E I 1 - j 14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zoomScaleNormal="100" workbookViewId="0"/>
  </sheetViews>
  <sheetFormatPr baseColWidth="10" defaultColWidth="11.42578125" defaultRowHeight="12.75"/>
  <cols>
    <col min="1" max="1" width="87.5703125" style="123" customWidth="1"/>
    <col min="2" max="26" width="1" style="124" customWidth="1"/>
    <col min="27" max="16384" width="11.42578125" style="125"/>
  </cols>
  <sheetData>
    <row r="1" spans="1:1" ht="12.75" customHeight="1"/>
    <row r="2" spans="1:1" ht="26.25" customHeight="1">
      <c r="A2" s="137" t="s">
        <v>312</v>
      </c>
    </row>
    <row r="3" spans="1:1">
      <c r="A3" s="135" t="s">
        <v>253</v>
      </c>
    </row>
    <row r="4" spans="1:1">
      <c r="A4" s="135" t="s">
        <v>256</v>
      </c>
    </row>
    <row r="6" spans="1:1">
      <c r="A6" s="125"/>
    </row>
    <row r="7" spans="1:1">
      <c r="A7" s="125"/>
    </row>
    <row r="8" spans="1:1">
      <c r="A8" s="125"/>
    </row>
    <row r="9" spans="1:1">
      <c r="A9" s="125"/>
    </row>
    <row r="10" spans="1:1">
      <c r="A10" s="125"/>
    </row>
    <row r="11" spans="1:1">
      <c r="A11" s="125"/>
    </row>
    <row r="12" spans="1:1">
      <c r="A12" s="125"/>
    </row>
    <row r="13" spans="1:1">
      <c r="A13" s="125"/>
    </row>
    <row r="14" spans="1:1">
      <c r="A14" s="125"/>
    </row>
    <row r="15" spans="1:1">
      <c r="A15" s="125"/>
    </row>
    <row r="16" spans="1:1">
      <c r="A16" s="125"/>
    </row>
    <row r="17" spans="1:1">
      <c r="A17" s="125"/>
    </row>
    <row r="18" spans="1:1">
      <c r="A18" s="125"/>
    </row>
    <row r="19" spans="1:1">
      <c r="A19" s="125"/>
    </row>
    <row r="20" spans="1:1">
      <c r="A20" s="125"/>
    </row>
    <row r="21" spans="1:1">
      <c r="A21" s="125"/>
    </row>
    <row r="22" spans="1:1">
      <c r="A22" s="125"/>
    </row>
    <row r="23" spans="1:1">
      <c r="A23" s="125"/>
    </row>
    <row r="24" spans="1:1">
      <c r="A24" s="125"/>
    </row>
    <row r="25" spans="1:1">
      <c r="A25" s="125"/>
    </row>
    <row r="26" spans="1:1">
      <c r="A26" s="125"/>
    </row>
    <row r="27" spans="1:1">
      <c r="A27" s="125"/>
    </row>
    <row r="28" spans="1:1">
      <c r="A28" s="125"/>
    </row>
    <row r="29" spans="1:1">
      <c r="A29" s="125"/>
    </row>
    <row r="30" spans="1:1">
      <c r="A30" s="125"/>
    </row>
    <row r="31" spans="1:1">
      <c r="A31" s="125"/>
    </row>
    <row r="32" spans="1:1">
      <c r="A32" s="125"/>
    </row>
    <row r="33" spans="1:26">
      <c r="A33" s="125"/>
    </row>
    <row r="34" spans="1:26">
      <c r="A34" s="125"/>
    </row>
    <row r="35" spans="1:26">
      <c r="A35" s="125"/>
    </row>
    <row r="36" spans="1:26">
      <c r="A36" s="125"/>
    </row>
    <row r="37" spans="1:26">
      <c r="A37" s="125"/>
    </row>
    <row r="42" spans="1:26" s="126" customForma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s="126" customForma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s="126" customForma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s="126" customFormat="1">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126" customForma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s="126" customForma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s="126" customFormat="1">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s="126" customForma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126" customForma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126" customForma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126" customFormat="1">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126" customFormat="1">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26" customForma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s="126" customFormat="1">
      <c r="A56" s="1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67" spans="1:26" s="123" customFormat="1">
      <c r="A67" s="127"/>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7"/>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7"/>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s="123" customFormat="1">
      <c r="A70" s="127"/>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s="123" customFormat="1">
      <c r="A71" s="127"/>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23" customFormat="1">
      <c r="A72" s="127"/>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s="123" customFormat="1">
      <c r="A73" s="127"/>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s="123" customFormat="1">
      <c r="A74" s="127"/>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s="123" customFormat="1">
      <c r="A75" s="127"/>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s="123" customFormat="1">
      <c r="A76" s="127"/>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9"/>
  <sheetViews>
    <sheetView zoomScale="150" zoomScaleNormal="150" workbookViewId="0">
      <selection activeCell="D33" sqref="D33"/>
    </sheetView>
  </sheetViews>
  <sheetFormatPr baseColWidth="10" defaultColWidth="11.42578125" defaultRowHeight="12.75"/>
  <cols>
    <col min="1" max="1" width="5" style="126" bestFit="1" customWidth="1"/>
    <col min="2" max="2" width="20.42578125" style="124" customWidth="1"/>
    <col min="3" max="3" width="9.85546875" style="124" bestFit="1" customWidth="1"/>
    <col min="4" max="4" width="10" style="124" customWidth="1"/>
    <col min="5" max="5" width="7.42578125" style="124" customWidth="1"/>
    <col min="6" max="26" width="1.140625" style="124" customWidth="1"/>
    <col min="27" max="16384" width="11.42578125" style="125"/>
  </cols>
  <sheetData>
    <row r="1" spans="1:5" ht="12" customHeight="1"/>
    <row r="2" spans="1:5" ht="12.75" customHeight="1">
      <c r="A2" s="260" t="s">
        <v>262</v>
      </c>
      <c r="B2" s="260" t="s">
        <v>263</v>
      </c>
      <c r="C2" s="128" t="s">
        <v>53</v>
      </c>
      <c r="D2" s="129"/>
      <c r="E2" s="262" t="s">
        <v>264</v>
      </c>
    </row>
    <row r="3" spans="1:5">
      <c r="A3" s="261"/>
      <c r="B3" s="261"/>
      <c r="C3" s="268" t="s">
        <v>292</v>
      </c>
      <c r="D3" s="269" t="s">
        <v>314</v>
      </c>
      <c r="E3" s="263"/>
    </row>
    <row r="4" spans="1:5">
      <c r="C4" s="265"/>
      <c r="D4" s="267"/>
    </row>
    <row r="5" spans="1:5">
      <c r="A5" s="126">
        <v>233</v>
      </c>
      <c r="B5" s="124" t="s">
        <v>266</v>
      </c>
      <c r="C5" s="190">
        <v>66628664</v>
      </c>
      <c r="D5" s="190">
        <v>87038891</v>
      </c>
      <c r="E5" s="204">
        <f t="shared" ref="E5:E22" si="0">D5/C5*100-100</f>
        <v>30.632802422693032</v>
      </c>
    </row>
    <row r="6" spans="1:5">
      <c r="A6" s="132" t="s">
        <v>280</v>
      </c>
      <c r="B6" s="124" t="s">
        <v>267</v>
      </c>
      <c r="C6" s="190">
        <v>39420899</v>
      </c>
      <c r="D6" s="190">
        <v>39942905</v>
      </c>
      <c r="E6" s="191">
        <f t="shared" si="0"/>
        <v>1.3241859349782885</v>
      </c>
    </row>
    <row r="7" spans="1:5">
      <c r="A7" s="126">
        <v>133</v>
      </c>
      <c r="B7" s="124" t="s">
        <v>273</v>
      </c>
      <c r="C7" s="190">
        <v>198926695</v>
      </c>
      <c r="D7" s="190">
        <v>253315107</v>
      </c>
      <c r="E7" s="191">
        <f t="shared" si="0"/>
        <v>27.340931793995765</v>
      </c>
    </row>
    <row r="8" spans="1:5">
      <c r="A8" s="126">
        <v>140</v>
      </c>
      <c r="B8" s="124" t="s">
        <v>269</v>
      </c>
      <c r="C8" s="190">
        <v>33220476320</v>
      </c>
      <c r="D8" s="190">
        <v>30530480199</v>
      </c>
      <c r="E8" s="191">
        <f t="shared" si="0"/>
        <v>-8.0974038273512718</v>
      </c>
    </row>
    <row r="9" spans="1:5">
      <c r="A9" s="126">
        <v>232</v>
      </c>
      <c r="B9" s="133" t="s">
        <v>284</v>
      </c>
      <c r="C9" s="190">
        <v>70914314245</v>
      </c>
      <c r="D9" s="190">
        <v>68567350820</v>
      </c>
      <c r="E9" s="191">
        <f t="shared" si="0"/>
        <v>-3.3095764233036675</v>
      </c>
    </row>
    <row r="10" spans="1:5">
      <c r="A10" s="126">
        <v>331</v>
      </c>
      <c r="B10" s="124" t="s">
        <v>268</v>
      </c>
      <c r="C10" s="190">
        <v>147738394</v>
      </c>
      <c r="D10" s="190">
        <v>139907421</v>
      </c>
      <c r="E10" s="191">
        <f t="shared" si="0"/>
        <v>-5.3005672987077332</v>
      </c>
    </row>
    <row r="11" spans="1:5">
      <c r="A11" s="126">
        <v>336</v>
      </c>
      <c r="B11" s="124" t="s">
        <v>278</v>
      </c>
      <c r="C11" s="190">
        <v>3017825930</v>
      </c>
      <c r="D11" s="190">
        <v>3013517401</v>
      </c>
      <c r="E11" s="191">
        <f t="shared" si="0"/>
        <v>-0.14276930147525491</v>
      </c>
    </row>
    <row r="12" spans="1:5">
      <c r="A12" s="126">
        <v>143</v>
      </c>
      <c r="B12" s="124" t="s">
        <v>275</v>
      </c>
      <c r="C12" s="190">
        <v>242299144</v>
      </c>
      <c r="D12" s="190">
        <v>248133261</v>
      </c>
      <c r="E12" s="191">
        <f t="shared" si="0"/>
        <v>2.407815770079651</v>
      </c>
    </row>
    <row r="13" spans="1:5">
      <c r="A13" s="126">
        <v>335</v>
      </c>
      <c r="B13" s="124" t="s">
        <v>274</v>
      </c>
      <c r="C13" s="190">
        <v>7008031696</v>
      </c>
      <c r="D13" s="190">
        <v>6299020440</v>
      </c>
      <c r="E13" s="191">
        <f t="shared" si="0"/>
        <v>-10.117123990815927</v>
      </c>
    </row>
    <row r="14" spans="1:5">
      <c r="A14" s="126">
        <v>334</v>
      </c>
      <c r="B14" s="124" t="s">
        <v>277</v>
      </c>
      <c r="C14" s="190">
        <v>699374021</v>
      </c>
      <c r="D14" s="190">
        <v>658743186</v>
      </c>
      <c r="E14" s="191">
        <f t="shared" si="0"/>
        <v>-5.8096002682375882</v>
      </c>
    </row>
    <row r="15" spans="1:5">
      <c r="A15" s="126">
        <v>332</v>
      </c>
      <c r="B15" s="124" t="s">
        <v>265</v>
      </c>
      <c r="C15" s="190">
        <v>2551118170</v>
      </c>
      <c r="D15" s="190">
        <v>2592869589</v>
      </c>
      <c r="E15" s="191">
        <f t="shared" si="0"/>
        <v>1.6365929062392297</v>
      </c>
    </row>
    <row r="16" spans="1:5">
      <c r="A16" s="132" t="s">
        <v>282</v>
      </c>
      <c r="B16" s="124" t="s">
        <v>271</v>
      </c>
      <c r="C16" s="190">
        <v>369591339</v>
      </c>
      <c r="D16" s="190">
        <v>427013237</v>
      </c>
      <c r="E16" s="191">
        <f t="shared" si="0"/>
        <v>15.536591889670873</v>
      </c>
    </row>
    <row r="17" spans="1:5">
      <c r="A17" s="126">
        <v>333</v>
      </c>
      <c r="B17" s="124" t="s">
        <v>270</v>
      </c>
      <c r="C17" s="190">
        <v>1596880412</v>
      </c>
      <c r="D17" s="190">
        <v>1693392097</v>
      </c>
      <c r="E17" s="191">
        <f t="shared" si="0"/>
        <v>6.0437640962183679</v>
      </c>
    </row>
    <row r="18" spans="1:5">
      <c r="A18" s="126">
        <v>338</v>
      </c>
      <c r="B18" s="124" t="s">
        <v>281</v>
      </c>
      <c r="C18" s="190">
        <v>937570463</v>
      </c>
      <c r="D18" s="190">
        <v>1029539475</v>
      </c>
      <c r="E18" s="191">
        <f t="shared" si="0"/>
        <v>9.8092906751479063</v>
      </c>
    </row>
    <row r="19" spans="1:5">
      <c r="B19" s="124" t="s">
        <v>276</v>
      </c>
      <c r="C19" s="190">
        <v>1416539021</v>
      </c>
      <c r="D19" s="190">
        <v>1432684284</v>
      </c>
      <c r="E19" s="191">
        <f t="shared" si="0"/>
        <v>1.1397683198731841</v>
      </c>
    </row>
    <row r="20" spans="1:5">
      <c r="A20" s="126">
        <v>235</v>
      </c>
      <c r="B20" s="124" t="s">
        <v>272</v>
      </c>
      <c r="C20" s="190">
        <v>789284058</v>
      </c>
      <c r="D20" s="190">
        <v>806621439</v>
      </c>
      <c r="E20" s="191">
        <f t="shared" si="0"/>
        <v>2.1965958673904993</v>
      </c>
    </row>
    <row r="21" spans="1:5">
      <c r="A21" s="126">
        <v>134</v>
      </c>
      <c r="B21" s="124" t="s">
        <v>283</v>
      </c>
      <c r="C21" s="190">
        <v>4874757277</v>
      </c>
      <c r="D21" s="190">
        <v>4883206513</v>
      </c>
      <c r="E21" s="191">
        <f t="shared" si="0"/>
        <v>0.17332629133895239</v>
      </c>
    </row>
    <row r="22" spans="1:5">
      <c r="B22" s="124" t="s">
        <v>279</v>
      </c>
      <c r="C22" s="190">
        <v>7861087218</v>
      </c>
      <c r="D22" s="190">
        <v>8863520261</v>
      </c>
      <c r="E22" s="131">
        <f t="shared" si="0"/>
        <v>12.751837184870169</v>
      </c>
    </row>
    <row r="24" spans="1:5">
      <c r="A24" s="132"/>
      <c r="C24" s="130"/>
      <c r="D24" s="130"/>
      <c r="E24" s="131"/>
    </row>
    <row r="25" spans="1:5">
      <c r="A25" s="132"/>
      <c r="C25" s="130"/>
      <c r="D25" s="130"/>
      <c r="E25" s="131"/>
    </row>
    <row r="35" spans="2:26" s="126" customFormat="1" ht="9">
      <c r="B35" s="124"/>
      <c r="C35" s="124"/>
      <c r="D35" s="124"/>
      <c r="E35" s="124"/>
      <c r="F35" s="124"/>
      <c r="G35" s="124"/>
      <c r="H35" s="124"/>
      <c r="I35" s="124"/>
      <c r="J35" s="124"/>
      <c r="K35" s="124"/>
      <c r="L35" s="124"/>
      <c r="M35" s="124"/>
      <c r="N35" s="124"/>
      <c r="O35" s="124"/>
      <c r="P35" s="124"/>
      <c r="Q35" s="124"/>
      <c r="R35" s="124"/>
      <c r="S35" s="124"/>
      <c r="T35" s="124"/>
      <c r="U35" s="124"/>
      <c r="V35" s="124"/>
      <c r="W35" s="124"/>
      <c r="X35" s="124"/>
      <c r="Y35" s="124"/>
      <c r="Z35" s="124"/>
    </row>
    <row r="36" spans="2:26" s="126" customFormat="1" ht="9">
      <c r="B36" s="124"/>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row>
    <row r="37" spans="2:26" s="126" customFormat="1" ht="9">
      <c r="B37" s="124"/>
      <c r="C37" s="124"/>
      <c r="D37" s="124"/>
      <c r="E37" s="124"/>
      <c r="F37" s="124"/>
      <c r="G37" s="124"/>
      <c r="H37" s="124"/>
      <c r="I37" s="124"/>
      <c r="J37" s="124"/>
      <c r="K37" s="124"/>
      <c r="L37" s="124"/>
      <c r="M37" s="124"/>
      <c r="N37" s="124"/>
      <c r="O37" s="124"/>
      <c r="P37" s="124"/>
      <c r="Q37" s="124"/>
      <c r="R37" s="124"/>
      <c r="S37" s="124"/>
      <c r="T37" s="124"/>
      <c r="U37" s="124"/>
      <c r="V37" s="124"/>
      <c r="W37" s="124"/>
      <c r="X37" s="124"/>
      <c r="Y37" s="124"/>
      <c r="Z37" s="124"/>
    </row>
    <row r="38" spans="2:26" s="126" customFormat="1" ht="9">
      <c r="B38" s="124"/>
      <c r="C38" s="124"/>
      <c r="D38" s="124"/>
      <c r="E38" s="124"/>
      <c r="F38" s="124"/>
      <c r="G38" s="124"/>
      <c r="H38" s="124"/>
      <c r="I38" s="124"/>
      <c r="J38" s="124"/>
      <c r="K38" s="124"/>
      <c r="L38" s="124"/>
      <c r="M38" s="124"/>
      <c r="N38" s="124"/>
      <c r="O38" s="124"/>
      <c r="P38" s="124"/>
      <c r="Q38" s="124"/>
      <c r="R38" s="124"/>
      <c r="S38" s="124"/>
      <c r="T38" s="124"/>
      <c r="U38" s="124"/>
      <c r="V38" s="124"/>
      <c r="W38" s="124"/>
      <c r="X38" s="124"/>
      <c r="Y38" s="124"/>
      <c r="Z38" s="124"/>
    </row>
    <row r="39" spans="2:26" s="126" customFormat="1" ht="9">
      <c r="B39" s="124"/>
      <c r="C39" s="124"/>
      <c r="D39" s="124"/>
      <c r="E39" s="124"/>
      <c r="F39" s="124"/>
      <c r="G39" s="124"/>
      <c r="H39" s="124"/>
      <c r="I39" s="124"/>
      <c r="J39" s="124"/>
      <c r="K39" s="124"/>
      <c r="L39" s="124"/>
      <c r="M39" s="124"/>
      <c r="N39" s="124"/>
      <c r="O39" s="124"/>
      <c r="P39" s="124"/>
      <c r="Q39" s="124"/>
      <c r="R39" s="124"/>
      <c r="S39" s="124"/>
      <c r="T39" s="124"/>
      <c r="U39" s="124"/>
      <c r="V39" s="124"/>
      <c r="W39" s="124"/>
      <c r="X39" s="124"/>
      <c r="Y39" s="124"/>
      <c r="Z39" s="124"/>
    </row>
    <row r="40" spans="2:26" s="126" customFormat="1" ht="9">
      <c r="B40" s="124"/>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row>
    <row r="41" spans="2:26" s="126" customFormat="1" ht="9">
      <c r="B41" s="124"/>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row>
    <row r="42" spans="2:26" s="126" customFormat="1" ht="9">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2:26" s="126" customFormat="1" ht="9">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2:26" s="126" customFormat="1" ht="9">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2:26" s="126" customFormat="1" ht="9">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2:26" s="126" customFormat="1" ht="9">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2:26" s="126" customFormat="1" ht="9">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2:26" s="126" customFormat="1" ht="9">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ht="9">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60" spans="1:26" s="123" customFormat="1">
      <c r="A60" s="126"/>
      <c r="B60" s="124"/>
      <c r="C60" s="124"/>
      <c r="D60" s="124"/>
      <c r="E60" s="124"/>
      <c r="F60" s="124"/>
      <c r="G60" s="124"/>
      <c r="H60" s="124"/>
      <c r="I60" s="124"/>
      <c r="J60" s="124"/>
      <c r="K60" s="124"/>
      <c r="L60" s="124"/>
      <c r="M60" s="124"/>
      <c r="N60" s="124"/>
      <c r="O60" s="124"/>
      <c r="P60" s="124"/>
      <c r="Q60" s="124"/>
      <c r="R60" s="124"/>
      <c r="S60" s="124"/>
      <c r="T60" s="124"/>
      <c r="U60" s="124"/>
      <c r="V60" s="124"/>
      <c r="W60" s="124"/>
      <c r="X60" s="124"/>
      <c r="Y60" s="124"/>
      <c r="Z60" s="124"/>
    </row>
    <row r="61" spans="1:26" s="123" customFormat="1">
      <c r="A61" s="126"/>
      <c r="B61" s="124"/>
      <c r="C61" s="124"/>
      <c r="D61" s="124"/>
      <c r="E61" s="124"/>
      <c r="F61" s="124"/>
      <c r="G61" s="124"/>
      <c r="H61" s="124"/>
      <c r="I61" s="124"/>
      <c r="J61" s="124"/>
      <c r="K61" s="124"/>
      <c r="L61" s="124"/>
      <c r="M61" s="124"/>
      <c r="N61" s="124"/>
      <c r="O61" s="124"/>
      <c r="P61" s="124"/>
      <c r="Q61" s="124"/>
      <c r="R61" s="124"/>
      <c r="S61" s="124"/>
      <c r="T61" s="124"/>
      <c r="U61" s="124"/>
      <c r="V61" s="124"/>
      <c r="W61" s="124"/>
      <c r="X61" s="124"/>
      <c r="Y61" s="124"/>
      <c r="Z61" s="124"/>
    </row>
    <row r="62" spans="1:26" s="123" customFormat="1">
      <c r="A62" s="126"/>
      <c r="B62" s="124"/>
      <c r="C62" s="124"/>
      <c r="D62" s="124"/>
      <c r="E62" s="124"/>
      <c r="F62" s="124"/>
      <c r="G62" s="124"/>
      <c r="H62" s="124"/>
      <c r="I62" s="124"/>
      <c r="J62" s="124"/>
      <c r="K62" s="124"/>
      <c r="L62" s="124"/>
      <c r="M62" s="124"/>
      <c r="N62" s="124"/>
      <c r="O62" s="124"/>
      <c r="P62" s="124"/>
      <c r="Q62" s="124"/>
      <c r="R62" s="124"/>
      <c r="S62" s="124"/>
      <c r="T62" s="124"/>
      <c r="U62" s="124"/>
      <c r="V62" s="124"/>
      <c r="W62" s="124"/>
      <c r="X62" s="124"/>
      <c r="Y62" s="124"/>
      <c r="Z62" s="124"/>
    </row>
    <row r="63" spans="1:26" s="123" customFormat="1">
      <c r="A63" s="126"/>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row>
    <row r="64" spans="1:26" s="123" customFormat="1">
      <c r="A64" s="126"/>
      <c r="B64" s="124"/>
      <c r="C64" s="124"/>
      <c r="D64" s="124"/>
      <c r="E64" s="124"/>
      <c r="F64" s="124"/>
      <c r="G64" s="124"/>
      <c r="H64" s="124"/>
      <c r="I64" s="124"/>
      <c r="J64" s="124"/>
      <c r="K64" s="124"/>
      <c r="L64" s="124"/>
      <c r="M64" s="124"/>
      <c r="N64" s="124"/>
      <c r="O64" s="124"/>
      <c r="P64" s="124"/>
      <c r="Q64" s="124"/>
      <c r="R64" s="124"/>
      <c r="S64" s="124"/>
      <c r="T64" s="124"/>
      <c r="U64" s="124"/>
      <c r="V64" s="124"/>
      <c r="W64" s="124"/>
      <c r="X64" s="124"/>
      <c r="Y64" s="124"/>
      <c r="Z64" s="124"/>
    </row>
    <row r="65" spans="1:26" s="123" customFormat="1">
      <c r="A65" s="126"/>
      <c r="B65" s="124"/>
      <c r="C65" s="124"/>
      <c r="D65" s="124"/>
      <c r="E65" s="124"/>
      <c r="F65" s="124"/>
      <c r="G65" s="124"/>
      <c r="H65" s="124"/>
      <c r="I65" s="124"/>
      <c r="J65" s="124"/>
      <c r="K65" s="124"/>
      <c r="L65" s="124"/>
      <c r="M65" s="124"/>
      <c r="N65" s="124"/>
      <c r="O65" s="124"/>
      <c r="P65" s="124"/>
      <c r="Q65" s="124"/>
      <c r="R65" s="124"/>
      <c r="S65" s="124"/>
      <c r="T65" s="124"/>
      <c r="U65" s="124"/>
      <c r="V65" s="124"/>
      <c r="W65" s="124"/>
      <c r="X65" s="124"/>
      <c r="Y65" s="124"/>
      <c r="Z65" s="124"/>
    </row>
    <row r="66" spans="1:26" s="123" customFormat="1">
      <c r="A66" s="126"/>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row>
    <row r="67" spans="1:26" s="123" customFormat="1">
      <c r="A67" s="126"/>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6"/>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6"/>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sheetData>
  <sortState ref="A5:E22">
    <sortCondition ref="E5:E22"/>
  </sortState>
  <mergeCells count="5">
    <mergeCell ref="A2:A3"/>
    <mergeCell ref="B2:B3"/>
    <mergeCell ref="E2:E3"/>
    <mergeCell ref="C3:C4"/>
    <mergeCell ref="D3:D4"/>
  </mergeCells>
  <pageMargins left="0.7" right="0.7" top="0.78740157499999996" bottom="0.78740157499999996" header="0.3" footer="0.3"/>
  <pageSetup paperSize="9" orientation="portrait" horizontalDpi="4294967295" verticalDpi="4294967295" r:id="rId1"/>
  <headerFooter>
    <oddFooter>&amp;L&amp;"Arial,Standard"&amp;8Statistikamt Nord&amp;C&amp;"Arial,Standard"&amp;8&amp;P&amp;R&amp;"Arial,Standard"&amp;8Statistischer Bericht E I 1 - j 14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6"/>
  <sheetViews>
    <sheetView topLeftCell="A3" zoomScaleNormal="100" workbookViewId="0"/>
  </sheetViews>
  <sheetFormatPr baseColWidth="10" defaultColWidth="11.42578125" defaultRowHeight="12.75"/>
  <cols>
    <col min="1" max="1" width="87.85546875" style="123" customWidth="1"/>
    <col min="2" max="26" width="1" style="124" customWidth="1"/>
    <col min="27" max="16384" width="11.42578125" style="125"/>
  </cols>
  <sheetData>
    <row r="1" spans="1:1" ht="12.75" customHeight="1">
      <c r="A1" s="134"/>
    </row>
    <row r="2" spans="1:1" ht="26.25" customHeight="1">
      <c r="A2" s="137" t="s">
        <v>313</v>
      </c>
    </row>
    <row r="3" spans="1:1">
      <c r="A3" s="135" t="s">
        <v>253</v>
      </c>
    </row>
    <row r="4" spans="1:1">
      <c r="A4" s="135" t="s">
        <v>256</v>
      </c>
    </row>
    <row r="5" spans="1:1">
      <c r="A5" s="134"/>
    </row>
    <row r="6" spans="1:1">
      <c r="A6" s="136"/>
    </row>
    <row r="7" spans="1:1">
      <c r="A7" s="125"/>
    </row>
    <row r="8" spans="1:1">
      <c r="A8" s="125"/>
    </row>
    <row r="9" spans="1:1">
      <c r="A9" s="125"/>
    </row>
    <row r="10" spans="1:1">
      <c r="A10" s="125"/>
    </row>
    <row r="11" spans="1:1">
      <c r="A11" s="125"/>
    </row>
    <row r="12" spans="1:1">
      <c r="A12" s="125"/>
    </row>
    <row r="13" spans="1:1">
      <c r="A13" s="125"/>
    </row>
    <row r="14" spans="1:1">
      <c r="A14" s="125"/>
    </row>
    <row r="15" spans="1:1">
      <c r="A15" s="125"/>
    </row>
    <row r="16" spans="1:1">
      <c r="A16" s="125"/>
    </row>
    <row r="17" spans="1:1">
      <c r="A17" s="125"/>
    </row>
    <row r="18" spans="1:1">
      <c r="A18" s="125"/>
    </row>
    <row r="19" spans="1:1">
      <c r="A19" s="125"/>
    </row>
    <row r="20" spans="1:1">
      <c r="A20" s="125"/>
    </row>
    <row r="21" spans="1:1">
      <c r="A21" s="125"/>
    </row>
    <row r="22" spans="1:1">
      <c r="A22" s="125"/>
    </row>
    <row r="23" spans="1:1">
      <c r="A23" s="125"/>
    </row>
    <row r="24" spans="1:1">
      <c r="A24" s="125"/>
    </row>
    <row r="25" spans="1:1">
      <c r="A25" s="125"/>
    </row>
    <row r="26" spans="1:1">
      <c r="A26" s="125"/>
    </row>
    <row r="27" spans="1:1">
      <c r="A27" s="125"/>
    </row>
    <row r="28" spans="1:1">
      <c r="A28" s="125"/>
    </row>
    <row r="29" spans="1:1">
      <c r="A29" s="125"/>
    </row>
    <row r="30" spans="1:1">
      <c r="A30" s="125"/>
    </row>
    <row r="31" spans="1:1">
      <c r="A31" s="125"/>
    </row>
    <row r="32" spans="1:1">
      <c r="A32" s="125"/>
    </row>
    <row r="33" spans="1:26">
      <c r="A33" s="125"/>
    </row>
    <row r="34" spans="1:26">
      <c r="A34" s="125"/>
    </row>
    <row r="35" spans="1:26">
      <c r="A35" s="125"/>
    </row>
    <row r="36" spans="1:26">
      <c r="A36" s="125"/>
    </row>
    <row r="37" spans="1:26">
      <c r="A37" s="125"/>
    </row>
    <row r="42" spans="1:26" s="126" customFormat="1">
      <c r="A42" s="123"/>
      <c r="B42" s="124"/>
      <c r="C42" s="124"/>
      <c r="D42" s="124"/>
      <c r="E42" s="124"/>
      <c r="F42" s="124"/>
      <c r="G42" s="124"/>
      <c r="H42" s="124"/>
      <c r="I42" s="124"/>
      <c r="J42" s="124"/>
      <c r="K42" s="124"/>
      <c r="L42" s="124"/>
      <c r="M42" s="124"/>
      <c r="N42" s="124"/>
      <c r="O42" s="124"/>
      <c r="P42" s="124"/>
      <c r="Q42" s="124"/>
      <c r="R42" s="124"/>
      <c r="S42" s="124"/>
      <c r="T42" s="124"/>
      <c r="U42" s="124"/>
      <c r="V42" s="124"/>
      <c r="W42" s="124"/>
      <c r="X42" s="124"/>
      <c r="Y42" s="124"/>
      <c r="Z42" s="124"/>
    </row>
    <row r="43" spans="1:26" s="126" customFormat="1">
      <c r="A43" s="123"/>
      <c r="B43" s="124"/>
      <c r="C43" s="124"/>
      <c r="D43" s="124"/>
      <c r="E43" s="124"/>
      <c r="F43" s="124"/>
      <c r="G43" s="124"/>
      <c r="H43" s="124"/>
      <c r="I43" s="124"/>
      <c r="J43" s="124"/>
      <c r="K43" s="124"/>
      <c r="L43" s="124"/>
      <c r="M43" s="124"/>
      <c r="N43" s="124"/>
      <c r="O43" s="124"/>
      <c r="P43" s="124"/>
      <c r="Q43" s="124"/>
      <c r="R43" s="124"/>
      <c r="S43" s="124"/>
      <c r="T43" s="124"/>
      <c r="U43" s="124"/>
      <c r="V43" s="124"/>
      <c r="W43" s="124"/>
      <c r="X43" s="124"/>
      <c r="Y43" s="124"/>
      <c r="Z43" s="124"/>
    </row>
    <row r="44" spans="1:26" s="126" customFormat="1">
      <c r="A44" s="123"/>
      <c r="B44" s="124"/>
      <c r="C44" s="124"/>
      <c r="D44" s="124"/>
      <c r="E44" s="124"/>
      <c r="F44" s="124"/>
      <c r="G44" s="124"/>
      <c r="H44" s="124"/>
      <c r="I44" s="124"/>
      <c r="J44" s="124"/>
      <c r="K44" s="124"/>
      <c r="L44" s="124"/>
      <c r="M44" s="124"/>
      <c r="N44" s="124"/>
      <c r="O44" s="124"/>
      <c r="P44" s="124"/>
      <c r="Q44" s="124"/>
      <c r="R44" s="124"/>
      <c r="S44" s="124"/>
      <c r="T44" s="124"/>
      <c r="U44" s="124"/>
      <c r="V44" s="124"/>
      <c r="W44" s="124"/>
      <c r="X44" s="124"/>
      <c r="Y44" s="124"/>
      <c r="Z44" s="124"/>
    </row>
    <row r="45" spans="1:26" s="126" customFormat="1">
      <c r="A45" s="123"/>
      <c r="B45" s="124"/>
      <c r="C45" s="124"/>
      <c r="D45" s="124"/>
      <c r="E45" s="124"/>
      <c r="F45" s="124"/>
      <c r="G45" s="124"/>
      <c r="H45" s="124"/>
      <c r="I45" s="124"/>
      <c r="J45" s="124"/>
      <c r="K45" s="124"/>
      <c r="L45" s="124"/>
      <c r="M45" s="124"/>
      <c r="N45" s="124"/>
      <c r="O45" s="124"/>
      <c r="P45" s="124"/>
      <c r="Q45" s="124"/>
      <c r="R45" s="124"/>
      <c r="S45" s="124"/>
      <c r="T45" s="124"/>
      <c r="U45" s="124"/>
      <c r="V45" s="124"/>
      <c r="W45" s="124"/>
      <c r="X45" s="124"/>
      <c r="Y45" s="124"/>
      <c r="Z45" s="124"/>
    </row>
    <row r="46" spans="1:26" s="126" customFormat="1">
      <c r="A46" s="123"/>
      <c r="B46" s="124"/>
      <c r="C46" s="124"/>
      <c r="D46" s="124"/>
      <c r="E46" s="124"/>
      <c r="F46" s="124"/>
      <c r="G46" s="124"/>
      <c r="H46" s="124"/>
      <c r="I46" s="124"/>
      <c r="J46" s="124"/>
      <c r="K46" s="124"/>
      <c r="L46" s="124"/>
      <c r="M46" s="124"/>
      <c r="N46" s="124"/>
      <c r="O46" s="124"/>
      <c r="P46" s="124"/>
      <c r="Q46" s="124"/>
      <c r="R46" s="124"/>
      <c r="S46" s="124"/>
      <c r="T46" s="124"/>
      <c r="U46" s="124"/>
      <c r="V46" s="124"/>
      <c r="W46" s="124"/>
      <c r="X46" s="124"/>
      <c r="Y46" s="124"/>
      <c r="Z46" s="124"/>
    </row>
    <row r="47" spans="1:26" s="126" customFormat="1">
      <c r="A47" s="123"/>
      <c r="B47" s="124"/>
      <c r="C47" s="124"/>
      <c r="D47" s="124"/>
      <c r="E47" s="124"/>
      <c r="F47" s="124"/>
      <c r="G47" s="124"/>
      <c r="H47" s="124"/>
      <c r="I47" s="124"/>
      <c r="J47" s="124"/>
      <c r="K47" s="124"/>
      <c r="L47" s="124"/>
      <c r="M47" s="124"/>
      <c r="N47" s="124"/>
      <c r="O47" s="124"/>
      <c r="P47" s="124"/>
      <c r="Q47" s="124"/>
      <c r="R47" s="124"/>
      <c r="S47" s="124"/>
      <c r="T47" s="124"/>
      <c r="U47" s="124"/>
      <c r="V47" s="124"/>
      <c r="W47" s="124"/>
      <c r="X47" s="124"/>
      <c r="Y47" s="124"/>
      <c r="Z47" s="124"/>
    </row>
    <row r="48" spans="1:26" s="126" customFormat="1">
      <c r="A48" s="123"/>
      <c r="B48" s="124"/>
      <c r="C48" s="124"/>
      <c r="D48" s="124"/>
      <c r="E48" s="124"/>
      <c r="F48" s="124"/>
      <c r="G48" s="124"/>
      <c r="H48" s="124"/>
      <c r="I48" s="124"/>
      <c r="J48" s="124"/>
      <c r="K48" s="124"/>
      <c r="L48" s="124"/>
      <c r="M48" s="124"/>
      <c r="N48" s="124"/>
      <c r="O48" s="124"/>
      <c r="P48" s="124"/>
      <c r="Q48" s="124"/>
      <c r="R48" s="124"/>
      <c r="S48" s="124"/>
      <c r="T48" s="124"/>
      <c r="U48" s="124"/>
      <c r="V48" s="124"/>
      <c r="W48" s="124"/>
      <c r="X48" s="124"/>
      <c r="Y48" s="124"/>
      <c r="Z48" s="124"/>
    </row>
    <row r="49" spans="1:26" s="126" customFormat="1">
      <c r="A49" s="123"/>
      <c r="B49" s="124"/>
      <c r="C49" s="124"/>
      <c r="D49" s="124"/>
      <c r="E49" s="124"/>
      <c r="F49" s="124"/>
      <c r="G49" s="124"/>
      <c r="H49" s="124"/>
      <c r="I49" s="124"/>
      <c r="J49" s="124"/>
      <c r="K49" s="124"/>
      <c r="L49" s="124"/>
      <c r="M49" s="124"/>
      <c r="N49" s="124"/>
      <c r="O49" s="124"/>
      <c r="P49" s="124"/>
      <c r="Q49" s="124"/>
      <c r="R49" s="124"/>
      <c r="S49" s="124"/>
      <c r="T49" s="124"/>
      <c r="U49" s="124"/>
      <c r="V49" s="124"/>
      <c r="W49" s="124"/>
      <c r="X49" s="124"/>
      <c r="Y49" s="124"/>
      <c r="Z49" s="124"/>
    </row>
    <row r="50" spans="1:26" s="126" customFormat="1">
      <c r="A50" s="123"/>
      <c r="B50" s="124"/>
      <c r="C50" s="124"/>
      <c r="D50" s="124"/>
      <c r="E50" s="124"/>
      <c r="F50" s="124"/>
      <c r="G50" s="124"/>
      <c r="H50" s="124"/>
      <c r="I50" s="124"/>
      <c r="J50" s="124"/>
      <c r="K50" s="124"/>
      <c r="L50" s="124"/>
      <c r="M50" s="124"/>
      <c r="N50" s="124"/>
      <c r="O50" s="124"/>
      <c r="P50" s="124"/>
      <c r="Q50" s="124"/>
      <c r="R50" s="124"/>
      <c r="S50" s="124"/>
      <c r="T50" s="124"/>
      <c r="U50" s="124"/>
      <c r="V50" s="124"/>
      <c r="W50" s="124"/>
      <c r="X50" s="124"/>
      <c r="Y50" s="124"/>
      <c r="Z50" s="124"/>
    </row>
    <row r="51" spans="1:26" s="126" customFormat="1">
      <c r="A51" s="123"/>
      <c r="B51" s="124"/>
      <c r="C51" s="124"/>
      <c r="D51" s="124"/>
      <c r="E51" s="124"/>
      <c r="F51" s="124"/>
      <c r="G51" s="124"/>
      <c r="H51" s="124"/>
      <c r="I51" s="124"/>
      <c r="J51" s="124"/>
      <c r="K51" s="124"/>
      <c r="L51" s="124"/>
      <c r="M51" s="124"/>
      <c r="N51" s="124"/>
      <c r="O51" s="124"/>
      <c r="P51" s="124"/>
      <c r="Q51" s="124"/>
      <c r="R51" s="124"/>
      <c r="S51" s="124"/>
      <c r="T51" s="124"/>
      <c r="U51" s="124"/>
      <c r="V51" s="124"/>
      <c r="W51" s="124"/>
      <c r="X51" s="124"/>
      <c r="Y51" s="124"/>
      <c r="Z51" s="124"/>
    </row>
    <row r="52" spans="1:26" s="126" customFormat="1">
      <c r="A52" s="123"/>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row>
    <row r="53" spans="1:26" s="126" customFormat="1">
      <c r="A53" s="123"/>
      <c r="B53" s="124"/>
      <c r="C53" s="124"/>
      <c r="D53" s="124"/>
      <c r="E53" s="124"/>
      <c r="F53" s="124"/>
      <c r="G53" s="124"/>
      <c r="H53" s="124"/>
      <c r="I53" s="124"/>
      <c r="J53" s="124"/>
      <c r="K53" s="124"/>
      <c r="L53" s="124"/>
      <c r="M53" s="124"/>
      <c r="N53" s="124"/>
      <c r="O53" s="124"/>
      <c r="P53" s="124"/>
      <c r="Q53" s="124"/>
      <c r="R53" s="124"/>
      <c r="S53" s="124"/>
      <c r="T53" s="124"/>
      <c r="U53" s="124"/>
      <c r="V53" s="124"/>
      <c r="W53" s="124"/>
      <c r="X53" s="124"/>
      <c r="Y53" s="124"/>
      <c r="Z53" s="124"/>
    </row>
    <row r="54" spans="1:26" s="126" customFormat="1">
      <c r="A54" s="123"/>
      <c r="B54" s="124"/>
      <c r="C54" s="124"/>
      <c r="D54" s="124"/>
      <c r="E54" s="124"/>
      <c r="F54" s="124"/>
      <c r="G54" s="124"/>
      <c r="H54" s="124"/>
      <c r="I54" s="124"/>
      <c r="J54" s="124"/>
      <c r="K54" s="124"/>
      <c r="L54" s="124"/>
      <c r="M54" s="124"/>
      <c r="N54" s="124"/>
      <c r="O54" s="124"/>
      <c r="P54" s="124"/>
      <c r="Q54" s="124"/>
      <c r="R54" s="124"/>
      <c r="S54" s="124"/>
      <c r="T54" s="124"/>
      <c r="U54" s="124"/>
      <c r="V54" s="124"/>
      <c r="W54" s="124"/>
      <c r="X54" s="124"/>
      <c r="Y54" s="124"/>
      <c r="Z54" s="124"/>
    </row>
    <row r="55" spans="1:26" s="126" customFormat="1">
      <c r="A55" s="12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row>
    <row r="56" spans="1:26" s="126" customFormat="1">
      <c r="A56" s="123"/>
      <c r="B56" s="124"/>
      <c r="C56" s="124"/>
      <c r="D56" s="124"/>
      <c r="E56" s="124"/>
      <c r="F56" s="124"/>
      <c r="G56" s="124"/>
      <c r="H56" s="124"/>
      <c r="I56" s="124"/>
      <c r="J56" s="124"/>
      <c r="K56" s="124"/>
      <c r="L56" s="124"/>
      <c r="M56" s="124"/>
      <c r="N56" s="124"/>
      <c r="O56" s="124"/>
      <c r="P56" s="124"/>
      <c r="Q56" s="124"/>
      <c r="R56" s="124"/>
      <c r="S56" s="124"/>
      <c r="T56" s="124"/>
      <c r="U56" s="124"/>
      <c r="V56" s="124"/>
      <c r="W56" s="124"/>
      <c r="X56" s="124"/>
      <c r="Y56" s="124"/>
      <c r="Z56" s="124"/>
    </row>
    <row r="67" spans="1:26" s="123" customFormat="1">
      <c r="A67" s="127"/>
      <c r="B67" s="124"/>
      <c r="C67" s="124"/>
      <c r="D67" s="124"/>
      <c r="E67" s="124"/>
      <c r="F67" s="124"/>
      <c r="G67" s="124"/>
      <c r="H67" s="124"/>
      <c r="I67" s="124"/>
      <c r="J67" s="124"/>
      <c r="K67" s="124"/>
      <c r="L67" s="124"/>
      <c r="M67" s="124"/>
      <c r="N67" s="124"/>
      <c r="O67" s="124"/>
      <c r="P67" s="124"/>
      <c r="Q67" s="124"/>
      <c r="R67" s="124"/>
      <c r="S67" s="124"/>
      <c r="T67" s="124"/>
      <c r="U67" s="124"/>
      <c r="V67" s="124"/>
      <c r="W67" s="124"/>
      <c r="X67" s="124"/>
      <c r="Y67" s="124"/>
      <c r="Z67" s="124"/>
    </row>
    <row r="68" spans="1:26" s="123" customFormat="1">
      <c r="A68" s="127"/>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row>
    <row r="69" spans="1:26" s="123" customFormat="1">
      <c r="A69" s="127"/>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row>
    <row r="70" spans="1:26" s="123" customFormat="1">
      <c r="A70" s="127"/>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row>
    <row r="71" spans="1:26" s="123" customFormat="1">
      <c r="A71" s="127"/>
      <c r="B71" s="124"/>
      <c r="C71" s="124"/>
      <c r="D71" s="124"/>
      <c r="E71" s="124"/>
      <c r="F71" s="124"/>
      <c r="G71" s="124"/>
      <c r="H71" s="124"/>
      <c r="I71" s="124"/>
      <c r="J71" s="124"/>
      <c r="K71" s="124"/>
      <c r="L71" s="124"/>
      <c r="M71" s="124"/>
      <c r="N71" s="124"/>
      <c r="O71" s="124"/>
      <c r="P71" s="124"/>
      <c r="Q71" s="124"/>
      <c r="R71" s="124"/>
      <c r="S71" s="124"/>
      <c r="T71" s="124"/>
      <c r="U71" s="124"/>
      <c r="V71" s="124"/>
      <c r="W71" s="124"/>
      <c r="X71" s="124"/>
      <c r="Y71" s="124"/>
      <c r="Z71" s="124"/>
    </row>
    <row r="72" spans="1:26" s="123" customFormat="1">
      <c r="A72" s="127"/>
      <c r="B72" s="124"/>
      <c r="C72" s="124"/>
      <c r="D72" s="124"/>
      <c r="E72" s="124"/>
      <c r="F72" s="124"/>
      <c r="G72" s="124"/>
      <c r="H72" s="124"/>
      <c r="I72" s="124"/>
      <c r="J72" s="124"/>
      <c r="K72" s="124"/>
      <c r="L72" s="124"/>
      <c r="M72" s="124"/>
      <c r="N72" s="124"/>
      <c r="O72" s="124"/>
      <c r="P72" s="124"/>
      <c r="Q72" s="124"/>
      <c r="R72" s="124"/>
      <c r="S72" s="124"/>
      <c r="T72" s="124"/>
      <c r="U72" s="124"/>
      <c r="V72" s="124"/>
      <c r="W72" s="124"/>
      <c r="X72" s="124"/>
      <c r="Y72" s="124"/>
      <c r="Z72" s="124"/>
    </row>
    <row r="73" spans="1:26" s="123" customFormat="1">
      <c r="A73" s="127"/>
      <c r="B73" s="124"/>
      <c r="C73" s="124"/>
      <c r="D73" s="124"/>
      <c r="E73" s="124"/>
      <c r="F73" s="124"/>
      <c r="G73" s="124"/>
      <c r="H73" s="124"/>
      <c r="I73" s="124"/>
      <c r="J73" s="124"/>
      <c r="K73" s="124"/>
      <c r="L73" s="124"/>
      <c r="M73" s="124"/>
      <c r="N73" s="124"/>
      <c r="O73" s="124"/>
      <c r="P73" s="124"/>
      <c r="Q73" s="124"/>
      <c r="R73" s="124"/>
      <c r="S73" s="124"/>
      <c r="T73" s="124"/>
      <c r="U73" s="124"/>
      <c r="V73" s="124"/>
      <c r="W73" s="124"/>
      <c r="X73" s="124"/>
      <c r="Y73" s="124"/>
      <c r="Z73" s="124"/>
    </row>
    <row r="74" spans="1:26" s="123" customFormat="1">
      <c r="A74" s="127"/>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row>
    <row r="75" spans="1:26" s="123" customFormat="1">
      <c r="A75" s="127"/>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row>
    <row r="76" spans="1:26" s="123" customFormat="1">
      <c r="A76" s="127"/>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baseColWidth="10" defaultRowHeight="12.75"/>
  <sheetData/>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5"/>
  <sheetViews>
    <sheetView zoomScaleNormal="100" workbookViewId="0">
      <selection sqref="A1:G1"/>
    </sheetView>
  </sheetViews>
  <sheetFormatPr baseColWidth="10" defaultColWidth="10.85546875" defaultRowHeight="12.75"/>
  <cols>
    <col min="1" max="2" width="10.140625" style="2" customWidth="1"/>
    <col min="3" max="5" width="14.28515625" style="2" customWidth="1"/>
    <col min="6" max="6" width="12.7109375" style="2" customWidth="1"/>
    <col min="7"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c r="A1" s="216" t="s">
        <v>12</v>
      </c>
      <c r="B1" s="216"/>
      <c r="C1" s="216"/>
      <c r="D1" s="216"/>
      <c r="E1" s="216"/>
      <c r="F1" s="216"/>
      <c r="G1" s="216"/>
    </row>
    <row r="2" spans="1:7" s="8" customFormat="1" ht="15.75">
      <c r="A2" s="111"/>
      <c r="B2" s="111"/>
      <c r="C2" s="111"/>
      <c r="D2" s="111"/>
      <c r="E2" s="111"/>
      <c r="F2" s="111"/>
      <c r="G2" s="111"/>
    </row>
    <row r="3" spans="1:7" s="8" customFormat="1"/>
    <row r="4" spans="1:7" s="8" customFormat="1" ht="15.75">
      <c r="A4" s="217" t="s">
        <v>13</v>
      </c>
      <c r="B4" s="218"/>
      <c r="C4" s="218"/>
      <c r="D4" s="218"/>
      <c r="E4" s="218"/>
      <c r="F4" s="218"/>
      <c r="G4" s="218"/>
    </row>
    <row r="5" spans="1:7" s="8" customFormat="1">
      <c r="A5" s="219"/>
      <c r="B5" s="219"/>
      <c r="C5" s="219"/>
      <c r="D5" s="219"/>
      <c r="E5" s="219"/>
      <c r="F5" s="219"/>
      <c r="G5" s="219"/>
    </row>
    <row r="6" spans="1:7" s="8" customFormat="1">
      <c r="A6" s="9" t="s">
        <v>14</v>
      </c>
    </row>
    <row r="7" spans="1:7" s="8" customFormat="1" ht="5.25" customHeight="1">
      <c r="A7" s="9"/>
    </row>
    <row r="8" spans="1:7" s="8" customFormat="1" ht="12.75" customHeight="1">
      <c r="A8" s="220" t="s">
        <v>15</v>
      </c>
      <c r="B8" s="221"/>
      <c r="C8" s="221"/>
      <c r="D8" s="221"/>
      <c r="E8" s="221"/>
      <c r="F8" s="221"/>
      <c r="G8" s="221"/>
    </row>
    <row r="9" spans="1:7" s="8" customFormat="1">
      <c r="A9" s="222" t="s">
        <v>16</v>
      </c>
      <c r="B9" s="221"/>
      <c r="C9" s="221"/>
      <c r="D9" s="221"/>
      <c r="E9" s="221"/>
      <c r="F9" s="221"/>
      <c r="G9" s="221"/>
    </row>
    <row r="10" spans="1:7" s="8" customFormat="1" ht="5.25" customHeight="1">
      <c r="A10" s="10"/>
    </row>
    <row r="11" spans="1:7" s="8" customFormat="1" ht="16.899999999999999" customHeight="1">
      <c r="A11" s="224" t="s">
        <v>17</v>
      </c>
      <c r="B11" s="224"/>
      <c r="C11" s="224"/>
      <c r="D11" s="224"/>
      <c r="E11" s="224"/>
      <c r="F11" s="224"/>
      <c r="G11" s="224"/>
    </row>
    <row r="12" spans="1:7" s="8" customFormat="1">
      <c r="A12" s="222" t="s">
        <v>18</v>
      </c>
      <c r="B12" s="221"/>
      <c r="C12" s="221"/>
      <c r="D12" s="221"/>
      <c r="E12" s="221"/>
      <c r="F12" s="221"/>
      <c r="G12" s="221"/>
    </row>
    <row r="13" spans="1:7" s="8" customFormat="1" ht="14.1" customHeight="1">
      <c r="A13" s="10"/>
    </row>
    <row r="14" spans="1:7" s="8" customFormat="1" ht="14.1" customHeight="1"/>
    <row r="15" spans="1:7" s="8" customFormat="1">
      <c r="A15" s="220" t="s">
        <v>19</v>
      </c>
      <c r="B15" s="221"/>
      <c r="C15" s="221"/>
      <c r="D15" s="11"/>
      <c r="E15" s="11"/>
      <c r="F15" s="11"/>
      <c r="G15" s="11"/>
    </row>
    <row r="16" spans="1:7" s="8" customFormat="1" ht="14.1" customHeight="1">
      <c r="A16" s="11"/>
      <c r="B16" s="12"/>
      <c r="C16" s="12"/>
      <c r="D16" s="11"/>
      <c r="E16" s="11"/>
      <c r="F16" s="11"/>
      <c r="G16" s="11"/>
    </row>
    <row r="17" spans="1:7" s="8" customFormat="1" ht="14.1" customHeight="1">
      <c r="A17" s="222" t="s">
        <v>20</v>
      </c>
      <c r="B17" s="221"/>
      <c r="C17" s="221"/>
      <c r="D17" s="13"/>
      <c r="E17" s="13"/>
      <c r="F17" s="13"/>
      <c r="G17" s="13"/>
    </row>
    <row r="18" spans="1:7" s="8" customFormat="1" ht="14.1" customHeight="1">
      <c r="A18" s="13" t="s">
        <v>21</v>
      </c>
      <c r="B18" s="222" t="s">
        <v>22</v>
      </c>
      <c r="C18" s="221"/>
      <c r="D18" s="13"/>
      <c r="E18" s="13"/>
      <c r="F18" s="13"/>
      <c r="G18" s="13"/>
    </row>
    <row r="19" spans="1:7" s="8" customFormat="1" ht="12.75" customHeight="1">
      <c r="A19" s="13" t="s">
        <v>23</v>
      </c>
      <c r="B19" s="223" t="s">
        <v>24</v>
      </c>
      <c r="C19" s="221"/>
      <c r="D19" s="221"/>
      <c r="E19" s="13"/>
      <c r="F19" s="13"/>
      <c r="G19" s="13"/>
    </row>
    <row r="20" spans="1:7" s="8" customFormat="1" ht="12.75" customHeight="1">
      <c r="A20" s="27"/>
      <c r="B20" s="29"/>
      <c r="C20" s="28"/>
      <c r="D20" s="28"/>
      <c r="E20" s="27"/>
      <c r="F20" s="27"/>
      <c r="G20" s="27"/>
    </row>
    <row r="21" spans="1:7" s="8" customFormat="1">
      <c r="A21" s="13"/>
      <c r="B21" s="12"/>
      <c r="C21" s="12"/>
      <c r="D21" s="12"/>
      <c r="E21" s="12"/>
      <c r="F21" s="12"/>
      <c r="G21" s="12"/>
    </row>
    <row r="22" spans="1:7" s="8" customFormat="1" ht="15.75" customHeight="1">
      <c r="A22" s="220" t="s">
        <v>25</v>
      </c>
      <c r="B22" s="221"/>
      <c r="C22" s="11"/>
      <c r="D22" s="11"/>
      <c r="E22" s="11"/>
      <c r="F22" s="11"/>
      <c r="G22" s="11"/>
    </row>
    <row r="23" spans="1:7" s="8" customFormat="1" ht="15.75" customHeight="1">
      <c r="A23" s="11"/>
      <c r="B23" s="12"/>
      <c r="C23" s="11"/>
      <c r="D23" s="11"/>
      <c r="E23" s="11"/>
      <c r="F23" s="11"/>
      <c r="G23" s="11"/>
    </row>
    <row r="24" spans="1:7" s="8" customFormat="1" ht="15.75" customHeight="1">
      <c r="A24" s="13" t="s">
        <v>26</v>
      </c>
      <c r="B24" s="222" t="s">
        <v>27</v>
      </c>
      <c r="C24" s="221"/>
      <c r="D24" s="13"/>
      <c r="E24" s="13"/>
      <c r="F24" s="13"/>
      <c r="G24" s="13"/>
    </row>
    <row r="25" spans="1:7" s="8" customFormat="1" ht="12.75" customHeight="1">
      <c r="A25" s="13" t="s">
        <v>28</v>
      </c>
      <c r="B25" s="222" t="s">
        <v>29</v>
      </c>
      <c r="C25" s="221"/>
      <c r="D25" s="13"/>
      <c r="E25" s="13"/>
      <c r="F25" s="13"/>
      <c r="G25" s="13"/>
    </row>
    <row r="26" spans="1:7" s="8" customFormat="1" ht="13.7" customHeight="1">
      <c r="A26" s="13"/>
      <c r="B26" s="221" t="s">
        <v>30</v>
      </c>
      <c r="C26" s="221"/>
      <c r="D26" s="12"/>
      <c r="E26" s="12"/>
      <c r="F26" s="12"/>
      <c r="G26" s="12"/>
    </row>
    <row r="27" spans="1:7" s="8" customFormat="1">
      <c r="A27" s="10"/>
    </row>
    <row r="28" spans="1:7" s="8" customFormat="1" ht="15.75" customHeight="1">
      <c r="A28" s="10" t="s">
        <v>31</v>
      </c>
      <c r="B28" s="14" t="s">
        <v>32</v>
      </c>
    </row>
    <row r="29" spans="1:7" s="8" customFormat="1" ht="24.2" customHeight="1">
      <c r="A29" s="10"/>
    </row>
    <row r="30" spans="1:7" s="8" customFormat="1" ht="14.1" customHeight="1">
      <c r="A30" s="225" t="s">
        <v>304</v>
      </c>
      <c r="B30" s="221"/>
      <c r="C30" s="221"/>
      <c r="D30" s="221"/>
      <c r="E30" s="221"/>
      <c r="F30" s="221"/>
      <c r="G30" s="221"/>
    </row>
    <row r="31" spans="1:7" s="8" customFormat="1" ht="14.1" customHeight="1">
      <c r="A31" s="15" t="s">
        <v>33</v>
      </c>
      <c r="B31" s="12"/>
      <c r="C31" s="12"/>
      <c r="D31" s="12"/>
      <c r="E31" s="12"/>
      <c r="F31" s="12"/>
      <c r="G31" s="12"/>
    </row>
    <row r="32" spans="1:7" s="8" customFormat="1" ht="45.4" customHeight="1">
      <c r="A32" s="222" t="s">
        <v>252</v>
      </c>
      <c r="B32" s="221"/>
      <c r="C32" s="221"/>
      <c r="D32" s="221"/>
      <c r="E32" s="221"/>
      <c r="F32" s="221"/>
      <c r="G32" s="221"/>
    </row>
    <row r="33" spans="1:8" s="8" customFormat="1">
      <c r="A33" s="10"/>
    </row>
    <row r="34" spans="1:8" s="8" customFormat="1" ht="14.1" customHeight="1"/>
    <row r="35" spans="1:8" s="8" customFormat="1">
      <c r="A35" s="94"/>
    </row>
    <row r="36" spans="1:8" s="8" customFormat="1" ht="13.35" customHeight="1"/>
    <row r="37" spans="1:8" s="8" customFormat="1" ht="15.75" customHeight="1"/>
    <row r="38" spans="1:8" s="8" customFormat="1" ht="15.75" customHeight="1"/>
    <row r="39" spans="1:8" s="8" customFormat="1" ht="13.7" customHeight="1"/>
    <row r="40" spans="1:8" s="8" customFormat="1" ht="24.2" customHeight="1"/>
    <row r="41" spans="1:8" s="8" customFormat="1" ht="13.7" customHeight="1">
      <c r="A41" s="95" t="s">
        <v>34</v>
      </c>
      <c r="B41" s="95"/>
      <c r="C41" s="96"/>
      <c r="D41" s="96"/>
      <c r="E41" s="97"/>
      <c r="F41" s="97"/>
      <c r="G41" s="97"/>
      <c r="H41" s="97"/>
    </row>
    <row r="42" spans="1:8" s="8" customFormat="1" ht="13.7" customHeight="1">
      <c r="A42" s="95"/>
      <c r="B42" s="95"/>
      <c r="C42" s="96"/>
      <c r="D42" s="96"/>
      <c r="E42" s="97"/>
      <c r="F42" s="97"/>
      <c r="G42" s="97"/>
      <c r="H42" s="97"/>
    </row>
    <row r="43" spans="1:8" s="8" customFormat="1">
      <c r="A43" s="31">
        <v>0</v>
      </c>
      <c r="B43" s="32" t="s">
        <v>35</v>
      </c>
      <c r="C43" s="30"/>
      <c r="D43" s="30"/>
    </row>
    <row r="44" spans="1:8" s="8" customFormat="1">
      <c r="A44" s="32" t="s">
        <v>5</v>
      </c>
      <c r="B44" s="32" t="s">
        <v>36</v>
      </c>
      <c r="C44" s="30"/>
      <c r="D44" s="30"/>
    </row>
    <row r="45" spans="1:8" s="8" customFormat="1">
      <c r="A45" s="33" t="s">
        <v>37</v>
      </c>
      <c r="B45" s="32" t="s">
        <v>38</v>
      </c>
      <c r="C45" s="30"/>
      <c r="D45" s="30"/>
    </row>
    <row r="46" spans="1:8" s="8" customFormat="1">
      <c r="A46" s="33" t="s">
        <v>4</v>
      </c>
      <c r="B46" s="32" t="s">
        <v>39</v>
      </c>
      <c r="C46" s="30"/>
      <c r="D46" s="30"/>
    </row>
    <row r="47" spans="1:8" s="8" customFormat="1">
      <c r="A47" s="32" t="s">
        <v>206</v>
      </c>
      <c r="B47" s="32" t="s">
        <v>40</v>
      </c>
      <c r="C47" s="30"/>
      <c r="D47" s="30"/>
    </row>
    <row r="48" spans="1:8" s="8" customFormat="1">
      <c r="A48" s="32" t="s">
        <v>41</v>
      </c>
      <c r="B48" s="32" t="s">
        <v>42</v>
      </c>
      <c r="C48" s="30"/>
      <c r="D48" s="30"/>
    </row>
    <row r="49" spans="1:7" s="8" customFormat="1">
      <c r="A49" s="32" t="s">
        <v>43</v>
      </c>
      <c r="B49" s="32" t="s">
        <v>44</v>
      </c>
      <c r="C49" s="30"/>
      <c r="D49" s="30"/>
    </row>
    <row r="50" spans="1:7" s="8" customFormat="1">
      <c r="A50" s="32" t="s">
        <v>45</v>
      </c>
      <c r="B50" s="32" t="s">
        <v>46</v>
      </c>
      <c r="C50" s="30"/>
      <c r="D50" s="30"/>
    </row>
    <row r="51" spans="1:7" s="8" customFormat="1">
      <c r="A51" s="32" t="s">
        <v>47</v>
      </c>
      <c r="B51" s="32" t="s">
        <v>48</v>
      </c>
      <c r="C51" s="30"/>
      <c r="D51" s="30"/>
    </row>
    <row r="52" spans="1:7" s="8" customFormat="1">
      <c r="A52" s="32" t="s">
        <v>49</v>
      </c>
      <c r="B52" s="32" t="s">
        <v>50</v>
      </c>
      <c r="C52" s="30"/>
      <c r="D52" s="30"/>
    </row>
    <row r="53" spans="1:7" s="8" customFormat="1">
      <c r="A53" s="32" t="s">
        <v>249</v>
      </c>
      <c r="B53" s="32" t="s">
        <v>250</v>
      </c>
      <c r="C53" s="30"/>
      <c r="D53" s="30"/>
    </row>
    <row r="54" spans="1:7">
      <c r="A54" s="32"/>
      <c r="B54" s="34"/>
      <c r="C54" s="34"/>
      <c r="D54" s="34"/>
      <c r="E54" s="16"/>
      <c r="F54" s="16"/>
      <c r="G54" s="16"/>
    </row>
    <row r="55" spans="1:7">
      <c r="A55" s="16"/>
      <c r="B55" s="16"/>
      <c r="C55" s="16"/>
      <c r="D55" s="16"/>
      <c r="E55" s="16"/>
      <c r="F55" s="16"/>
      <c r="G55" s="16"/>
    </row>
    <row r="56" spans="1:7">
      <c r="A56" s="16"/>
      <c r="B56" s="16"/>
      <c r="C56" s="16"/>
      <c r="D56" s="16"/>
      <c r="E56" s="16"/>
      <c r="F56" s="16"/>
      <c r="G56" s="16"/>
    </row>
    <row r="57" spans="1:7">
      <c r="A57" s="16"/>
      <c r="B57" s="16"/>
      <c r="C57" s="16"/>
      <c r="D57" s="16"/>
      <c r="E57" s="16"/>
      <c r="F57" s="16"/>
      <c r="G57" s="16"/>
    </row>
    <row r="58" spans="1:7">
      <c r="A58" s="16"/>
      <c r="B58" s="16"/>
      <c r="C58" s="16"/>
      <c r="D58" s="16"/>
      <c r="E58" s="16"/>
      <c r="F58" s="16"/>
      <c r="G58" s="16"/>
    </row>
    <row r="59" spans="1:7">
      <c r="A59" s="16"/>
      <c r="B59" s="16"/>
      <c r="C59" s="16"/>
      <c r="D59" s="16"/>
      <c r="E59" s="16"/>
      <c r="F59" s="16"/>
      <c r="G59" s="16"/>
    </row>
    <row r="60" spans="1:7">
      <c r="A60" s="16"/>
      <c r="B60" s="16"/>
      <c r="C60" s="16"/>
      <c r="D60" s="16"/>
      <c r="E60" s="16"/>
      <c r="F60" s="16"/>
      <c r="G60" s="16"/>
    </row>
    <row r="61" spans="1:7">
      <c r="A61" s="16"/>
      <c r="B61" s="16"/>
      <c r="C61" s="16"/>
      <c r="D61" s="16"/>
      <c r="E61" s="16"/>
      <c r="F61" s="16"/>
      <c r="G61" s="16"/>
    </row>
    <row r="62" spans="1:7">
      <c r="A62" s="16"/>
      <c r="B62" s="16"/>
      <c r="C62" s="16"/>
      <c r="D62" s="16"/>
      <c r="E62" s="16"/>
      <c r="F62" s="16"/>
      <c r="G62" s="16"/>
    </row>
    <row r="63" spans="1:7">
      <c r="A63" s="16"/>
      <c r="B63" s="16"/>
      <c r="C63" s="16"/>
      <c r="D63" s="16"/>
      <c r="E63" s="16"/>
      <c r="F63" s="16"/>
      <c r="G63" s="16"/>
    </row>
    <row r="64" spans="1:7">
      <c r="A64" s="16"/>
      <c r="B64" s="16"/>
      <c r="C64" s="16"/>
      <c r="D64" s="16"/>
      <c r="E64" s="16"/>
      <c r="F64" s="16"/>
      <c r="G64" s="16"/>
    </row>
    <row r="65" spans="1:7">
      <c r="A65" s="16"/>
      <c r="B65" s="16"/>
      <c r="C65" s="16"/>
      <c r="D65" s="16"/>
      <c r="E65" s="16"/>
      <c r="F65" s="16"/>
      <c r="G65" s="16"/>
    </row>
    <row r="66" spans="1:7">
      <c r="A66" s="16"/>
      <c r="B66" s="16"/>
      <c r="C66" s="16"/>
      <c r="D66" s="16"/>
      <c r="E66" s="16"/>
      <c r="F66" s="16"/>
      <c r="G66" s="16"/>
    </row>
    <row r="67" spans="1:7">
      <c r="A67" s="16"/>
      <c r="B67" s="16"/>
      <c r="C67" s="16"/>
      <c r="D67" s="16"/>
      <c r="E67" s="16"/>
      <c r="F67" s="16"/>
      <c r="G67" s="16"/>
    </row>
    <row r="68" spans="1:7">
      <c r="A68" s="16"/>
      <c r="B68" s="16"/>
      <c r="C68" s="16"/>
      <c r="D68" s="16"/>
      <c r="E68" s="16"/>
      <c r="F68" s="16"/>
      <c r="G68" s="16"/>
    </row>
    <row r="69" spans="1:7">
      <c r="A69" s="16"/>
      <c r="B69" s="16"/>
      <c r="C69" s="16"/>
      <c r="D69" s="16"/>
      <c r="E69" s="16"/>
      <c r="F69" s="16"/>
      <c r="G69" s="16"/>
    </row>
    <row r="70" spans="1:7">
      <c r="A70" s="16"/>
      <c r="B70" s="16"/>
      <c r="C70" s="16"/>
      <c r="D70" s="16"/>
      <c r="E70" s="16"/>
      <c r="F70" s="16"/>
      <c r="G70" s="16"/>
    </row>
    <row r="71" spans="1:7">
      <c r="A71" s="16"/>
      <c r="B71" s="16"/>
      <c r="C71" s="16"/>
      <c r="D71" s="16"/>
      <c r="E71" s="16"/>
      <c r="F71" s="16"/>
      <c r="G71" s="16"/>
    </row>
    <row r="72" spans="1:7">
      <c r="A72" s="16"/>
      <c r="B72" s="16"/>
      <c r="C72" s="16"/>
      <c r="D72" s="16"/>
      <c r="E72" s="16"/>
      <c r="F72" s="16"/>
      <c r="G72" s="16"/>
    </row>
    <row r="73" spans="1:7">
      <c r="A73" s="16"/>
      <c r="B73" s="16"/>
      <c r="C73" s="16"/>
      <c r="D73" s="16"/>
      <c r="E73" s="16"/>
      <c r="F73" s="16"/>
      <c r="G73" s="16"/>
    </row>
    <row r="74" spans="1:7">
      <c r="A74" s="16"/>
      <c r="B74" s="16"/>
      <c r="C74" s="16"/>
      <c r="D74" s="16"/>
      <c r="E74" s="16"/>
      <c r="F74" s="16"/>
      <c r="G74" s="16"/>
    </row>
    <row r="75" spans="1:7">
      <c r="A75" s="16"/>
      <c r="B75" s="16"/>
      <c r="C75" s="16"/>
      <c r="D75" s="16"/>
      <c r="E75" s="16"/>
      <c r="F75" s="16"/>
      <c r="G75" s="16"/>
    </row>
    <row r="76" spans="1:7">
      <c r="A76" s="16"/>
      <c r="B76" s="16"/>
      <c r="C76" s="16"/>
      <c r="D76" s="16"/>
      <c r="E76" s="16"/>
      <c r="F76" s="16"/>
      <c r="G76" s="16"/>
    </row>
    <row r="77" spans="1:7">
      <c r="A77" s="16"/>
      <c r="B77" s="16"/>
      <c r="C77" s="16"/>
      <c r="D77" s="16"/>
      <c r="E77" s="16"/>
      <c r="F77" s="16"/>
      <c r="G77" s="16"/>
    </row>
    <row r="78" spans="1:7">
      <c r="A78" s="16"/>
      <c r="B78" s="16"/>
      <c r="C78" s="16"/>
      <c r="D78" s="16"/>
      <c r="E78" s="16"/>
      <c r="F78" s="16"/>
      <c r="G78" s="16"/>
    </row>
    <row r="79" spans="1:7">
      <c r="A79" s="16"/>
      <c r="B79" s="16"/>
      <c r="C79" s="16"/>
      <c r="D79" s="16"/>
      <c r="E79" s="16"/>
      <c r="F79" s="16"/>
      <c r="G79" s="16"/>
    </row>
    <row r="80" spans="1:7">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row r="154" spans="1:7">
      <c r="A154" s="16"/>
      <c r="B154" s="16"/>
      <c r="C154" s="16"/>
      <c r="D154" s="16"/>
      <c r="E154" s="16"/>
      <c r="F154" s="16"/>
      <c r="G154" s="16"/>
    </row>
    <row r="155" spans="1:7">
      <c r="A155" s="16"/>
      <c r="B155" s="16"/>
      <c r="C155" s="16"/>
      <c r="D155" s="16"/>
      <c r="E155" s="16"/>
      <c r="F155" s="16"/>
      <c r="G155" s="16"/>
    </row>
    <row r="156" spans="1:7">
      <c r="A156" s="16"/>
      <c r="B156" s="16"/>
      <c r="C156" s="16"/>
      <c r="D156" s="16"/>
      <c r="E156" s="16"/>
      <c r="F156" s="16"/>
      <c r="G156" s="16"/>
    </row>
    <row r="157" spans="1:7">
      <c r="A157" s="16"/>
      <c r="B157" s="16"/>
      <c r="C157" s="16"/>
      <c r="D157" s="16"/>
      <c r="E157" s="16"/>
      <c r="F157" s="16"/>
      <c r="G157" s="16"/>
    </row>
    <row r="158" spans="1:7">
      <c r="A158" s="16"/>
      <c r="B158" s="16"/>
      <c r="C158" s="16"/>
      <c r="D158" s="16"/>
      <c r="E158" s="16"/>
      <c r="F158" s="16"/>
      <c r="G158" s="16"/>
    </row>
    <row r="159" spans="1:7">
      <c r="A159" s="16"/>
      <c r="B159" s="16"/>
      <c r="C159" s="16"/>
      <c r="D159" s="16"/>
      <c r="E159" s="16"/>
      <c r="F159" s="16"/>
      <c r="G159" s="16"/>
    </row>
    <row r="160" spans="1:7">
      <c r="A160" s="16"/>
      <c r="B160" s="16"/>
      <c r="C160" s="16"/>
      <c r="D160" s="16"/>
      <c r="E160" s="16"/>
      <c r="F160" s="16"/>
      <c r="G160" s="16"/>
    </row>
    <row r="161" spans="1:7">
      <c r="A161" s="16"/>
      <c r="B161" s="16"/>
      <c r="C161" s="16"/>
      <c r="D161" s="16"/>
      <c r="E161" s="16"/>
      <c r="F161" s="16"/>
      <c r="G161" s="16"/>
    </row>
    <row r="162" spans="1:7">
      <c r="A162" s="16"/>
      <c r="B162" s="16"/>
      <c r="C162" s="16"/>
      <c r="D162" s="16"/>
      <c r="E162" s="16"/>
      <c r="F162" s="16"/>
      <c r="G162" s="16"/>
    </row>
    <row r="163" spans="1:7">
      <c r="A163" s="16"/>
      <c r="B163" s="16"/>
      <c r="C163" s="16"/>
      <c r="D163" s="16"/>
      <c r="E163" s="16"/>
      <c r="F163" s="16"/>
      <c r="G163" s="16"/>
    </row>
    <row r="164" spans="1:7">
      <c r="A164" s="16"/>
      <c r="B164" s="16"/>
      <c r="C164" s="16"/>
      <c r="D164" s="16"/>
      <c r="E164" s="16"/>
      <c r="F164" s="16"/>
      <c r="G164" s="16"/>
    </row>
    <row r="165" spans="1:7">
      <c r="A165" s="16"/>
      <c r="B165" s="16"/>
      <c r="C165" s="16"/>
      <c r="D165" s="16"/>
      <c r="E165" s="16"/>
      <c r="F165" s="16"/>
      <c r="G165" s="16"/>
    </row>
    <row r="166" spans="1:7">
      <c r="A166" s="16"/>
      <c r="B166" s="16"/>
      <c r="C166" s="16"/>
      <c r="D166" s="16"/>
      <c r="E166" s="16"/>
      <c r="F166" s="16"/>
      <c r="G166" s="16"/>
    </row>
    <row r="167" spans="1:7">
      <c r="A167" s="16"/>
      <c r="B167" s="16"/>
      <c r="C167" s="16"/>
      <c r="D167" s="16"/>
      <c r="E167" s="16"/>
      <c r="F167" s="16"/>
      <c r="G167" s="16"/>
    </row>
    <row r="168" spans="1:7">
      <c r="A168" s="16"/>
      <c r="B168" s="16"/>
      <c r="C168" s="16"/>
      <c r="D168" s="16"/>
      <c r="E168" s="16"/>
      <c r="F168" s="16"/>
      <c r="G168" s="16"/>
    </row>
    <row r="169" spans="1:7">
      <c r="A169" s="16"/>
      <c r="B169" s="16"/>
      <c r="C169" s="16"/>
      <c r="D169" s="16"/>
      <c r="E169" s="16"/>
      <c r="F169" s="16"/>
      <c r="G169" s="16"/>
    </row>
    <row r="170" spans="1:7">
      <c r="A170" s="16"/>
      <c r="B170" s="16"/>
      <c r="C170" s="16"/>
      <c r="D170" s="16"/>
      <c r="E170" s="16"/>
      <c r="F170" s="16"/>
      <c r="G170" s="16"/>
    </row>
    <row r="171" spans="1:7">
      <c r="A171" s="16"/>
      <c r="B171" s="16"/>
      <c r="C171" s="16"/>
      <c r="D171" s="16"/>
      <c r="E171" s="16"/>
      <c r="F171" s="16"/>
      <c r="G171" s="16"/>
    </row>
    <row r="172" spans="1:7">
      <c r="A172" s="16"/>
      <c r="B172" s="16"/>
      <c r="C172" s="16"/>
      <c r="D172" s="16"/>
      <c r="E172" s="16"/>
      <c r="F172" s="16"/>
      <c r="G172" s="16"/>
    </row>
    <row r="173" spans="1:7">
      <c r="A173" s="16"/>
      <c r="B173" s="16"/>
      <c r="C173" s="16"/>
      <c r="D173" s="16"/>
      <c r="E173" s="16"/>
      <c r="F173" s="16"/>
      <c r="G173" s="16"/>
    </row>
    <row r="174" spans="1:7">
      <c r="A174" s="16"/>
      <c r="B174" s="16"/>
      <c r="C174" s="16"/>
      <c r="D174" s="16"/>
      <c r="E174" s="16"/>
      <c r="F174" s="16"/>
      <c r="G174" s="16"/>
    </row>
    <row r="175" spans="1:7">
      <c r="A175" s="16"/>
      <c r="B175" s="16"/>
      <c r="C175" s="16"/>
      <c r="D175" s="16"/>
      <c r="E175" s="16"/>
      <c r="F175" s="16"/>
      <c r="G175" s="16"/>
    </row>
  </sheetData>
  <mergeCells count="17">
    <mergeCell ref="A17:C17"/>
    <mergeCell ref="B18:C18"/>
    <mergeCell ref="B19:D19"/>
    <mergeCell ref="A32:G32"/>
    <mergeCell ref="A11:G11"/>
    <mergeCell ref="A22:B22"/>
    <mergeCell ref="B24:C24"/>
    <mergeCell ref="B25:C25"/>
    <mergeCell ref="B26:C26"/>
    <mergeCell ref="A30:G30"/>
    <mergeCell ref="A12:G12"/>
    <mergeCell ref="A15:C15"/>
    <mergeCell ref="A1:G1"/>
    <mergeCell ref="A4:G4"/>
    <mergeCell ref="A5:G5"/>
    <mergeCell ref="A8:G8"/>
    <mergeCell ref="A9:G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 16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zoomScaleNormal="100" zoomScaleSheetLayoutView="100" workbookViewId="0">
      <selection sqref="A1:B1"/>
    </sheetView>
  </sheetViews>
  <sheetFormatPr baseColWidth="10" defaultColWidth="11.42578125" defaultRowHeight="12.75"/>
  <cols>
    <col min="1" max="1" width="3.85546875" style="35" customWidth="1"/>
    <col min="2" max="2" width="82.140625" style="35" customWidth="1"/>
    <col min="3" max="3" width="5.140625" style="35" customWidth="1"/>
    <col min="4" max="4" width="11.42578125" style="1"/>
    <col min="5" max="26" width="1.7109375" style="1" customWidth="1"/>
    <col min="27" max="16384" width="11.42578125" style="1"/>
  </cols>
  <sheetData>
    <row r="1" spans="1:3">
      <c r="A1" s="227" t="s">
        <v>6</v>
      </c>
      <c r="B1" s="227"/>
      <c r="C1" s="36" t="s">
        <v>9</v>
      </c>
    </row>
    <row r="2" spans="1:3">
      <c r="B2" s="38"/>
    </row>
    <row r="3" spans="1:3">
      <c r="A3" s="39"/>
      <c r="C3" s="36"/>
    </row>
    <row r="4" spans="1:3">
      <c r="A4" s="150" t="s">
        <v>7</v>
      </c>
      <c r="C4" s="36">
        <v>4</v>
      </c>
    </row>
    <row r="5" spans="1:3">
      <c r="A5" s="39"/>
      <c r="C5" s="36"/>
    </row>
    <row r="6" spans="1:3">
      <c r="A6" s="153" t="s">
        <v>286</v>
      </c>
      <c r="C6" s="36">
        <v>4</v>
      </c>
    </row>
    <row r="7" spans="1:3">
      <c r="B7" s="41"/>
      <c r="C7" s="36"/>
    </row>
    <row r="8" spans="1:3">
      <c r="A8" s="150" t="s">
        <v>151</v>
      </c>
      <c r="C8" s="36"/>
    </row>
    <row r="9" spans="1:3">
      <c r="A9" s="40"/>
      <c r="C9" s="36"/>
    </row>
    <row r="10" spans="1:3" ht="36">
      <c r="A10" s="45" t="s">
        <v>51</v>
      </c>
      <c r="B10" s="114" t="s">
        <v>305</v>
      </c>
      <c r="C10" s="37">
        <v>6</v>
      </c>
    </row>
    <row r="11" spans="1:3">
      <c r="B11" s="43"/>
      <c r="C11" s="36"/>
    </row>
    <row r="12" spans="1:3" ht="36" customHeight="1">
      <c r="A12" s="45" t="s">
        <v>125</v>
      </c>
      <c r="B12" s="114" t="s">
        <v>306</v>
      </c>
      <c r="C12" s="37">
        <v>8</v>
      </c>
    </row>
    <row r="13" spans="1:3">
      <c r="B13" s="44"/>
      <c r="C13" s="36"/>
    </row>
    <row r="14" spans="1:3" ht="24" customHeight="1">
      <c r="A14" s="45" t="s">
        <v>150</v>
      </c>
      <c r="B14" s="114" t="s">
        <v>307</v>
      </c>
      <c r="C14" s="37">
        <v>10</v>
      </c>
    </row>
    <row r="15" spans="1:3">
      <c r="B15" s="39"/>
      <c r="C15" s="36"/>
    </row>
    <row r="16" spans="1:3">
      <c r="B16" s="39"/>
      <c r="C16" s="36"/>
    </row>
    <row r="17" spans="1:3">
      <c r="B17" s="39"/>
      <c r="C17" s="36"/>
    </row>
    <row r="18" spans="1:3">
      <c r="A18" s="226" t="s">
        <v>152</v>
      </c>
      <c r="B18" s="226"/>
      <c r="C18" s="36"/>
    </row>
    <row r="19" spans="1:3">
      <c r="A19" s="46"/>
      <c r="B19" s="46"/>
      <c r="C19" s="36"/>
    </row>
    <row r="20" spans="1:3" ht="24" customHeight="1">
      <c r="A20" s="45" t="s">
        <v>51</v>
      </c>
      <c r="B20" s="114" t="s">
        <v>319</v>
      </c>
      <c r="C20" s="37">
        <v>11</v>
      </c>
    </row>
    <row r="21" spans="1:3">
      <c r="B21" s="43"/>
      <c r="C21" s="36"/>
    </row>
    <row r="22" spans="1:3" ht="36" customHeight="1">
      <c r="A22" s="45" t="s">
        <v>125</v>
      </c>
      <c r="B22" s="114" t="s">
        <v>308</v>
      </c>
      <c r="C22" s="37">
        <v>12</v>
      </c>
    </row>
    <row r="23" spans="1:3">
      <c r="B23" s="43"/>
      <c r="C23" s="36"/>
    </row>
    <row r="24" spans="1:3" ht="36" customHeight="1">
      <c r="A24" s="45" t="s">
        <v>150</v>
      </c>
      <c r="B24" s="114" t="s">
        <v>309</v>
      </c>
      <c r="C24" s="37">
        <v>13</v>
      </c>
    </row>
    <row r="25" spans="1:3">
      <c r="B25" s="39"/>
      <c r="C25" s="36"/>
    </row>
    <row r="26" spans="1:3">
      <c r="B26" s="43"/>
      <c r="C26" s="36"/>
    </row>
    <row r="27" spans="1:3" ht="13.7" customHeight="1">
      <c r="B27" s="43"/>
      <c r="C27" s="36"/>
    </row>
    <row r="28" spans="1:3" ht="15.75" customHeight="1">
      <c r="B28" s="43"/>
      <c r="C28" s="36"/>
    </row>
    <row r="29" spans="1:3" ht="15.75" customHeight="1">
      <c r="A29" s="40"/>
      <c r="C29" s="36"/>
    </row>
    <row r="30" spans="1:3" ht="24.2" customHeight="1">
      <c r="B30" s="39"/>
      <c r="C30" s="36"/>
    </row>
    <row r="31" spans="1:3" ht="14.1" customHeight="1">
      <c r="B31" s="42"/>
      <c r="C31" s="36"/>
    </row>
    <row r="32" spans="1:3" ht="14.1" customHeight="1">
      <c r="B32" s="43"/>
      <c r="C32" s="36"/>
    </row>
    <row r="33" spans="1:3" ht="15.75" customHeight="1">
      <c r="B33" s="39"/>
      <c r="C33" s="36"/>
    </row>
    <row r="34" spans="1:3" ht="15.75" customHeight="1">
      <c r="B34" s="42"/>
      <c r="C34" s="36"/>
    </row>
    <row r="35" spans="1:3" ht="14.1" customHeight="1">
      <c r="B35" s="43"/>
      <c r="C35" s="37"/>
    </row>
    <row r="36" spans="1:3" ht="14.1" customHeight="1"/>
    <row r="37" spans="1:3" ht="14.1" customHeight="1"/>
    <row r="38" spans="1:3" ht="14.1" customHeight="1"/>
    <row r="39" spans="1:3">
      <c r="A39" s="39"/>
    </row>
    <row r="40" spans="1:3" ht="13.35" customHeight="1"/>
    <row r="41" spans="1:3" ht="15.75" customHeight="1"/>
    <row r="42" spans="1:3" ht="15.75" customHeight="1"/>
    <row r="43" spans="1:3" ht="13.7" customHeight="1"/>
    <row r="44" spans="1:3" ht="24.2" customHeight="1"/>
    <row r="45" spans="1:3" s="100" customFormat="1" ht="13.7" customHeight="1">
      <c r="A45" s="98"/>
      <c r="B45" s="99"/>
      <c r="C45" s="99"/>
    </row>
  </sheetData>
  <mergeCells count="2">
    <mergeCell ref="A18:B18"/>
    <mergeCell ref="A1:B1"/>
  </mergeCells>
  <conditionalFormatting sqref="A4:C24">
    <cfRule type="expression" dxfId="176"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 16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B44"/>
  <sheetViews>
    <sheetView showWhiteSpace="0" zoomScaleNormal="100" workbookViewId="0"/>
  </sheetViews>
  <sheetFormatPr baseColWidth="10" defaultColWidth="11.28515625" defaultRowHeight="12.75"/>
  <cols>
    <col min="1" max="1" width="12.7109375" style="119" customWidth="1"/>
    <col min="2" max="2" width="76.42578125" style="119" customWidth="1"/>
    <col min="3" max="16384" width="11.28515625" style="119"/>
  </cols>
  <sheetData>
    <row r="11" spans="2:2" ht="16.899999999999999" customHeight="1">
      <c r="B11" s="196" t="s">
        <v>293</v>
      </c>
    </row>
    <row r="13" spans="2:2" ht="14.1" customHeight="1">
      <c r="B13" s="196" t="s">
        <v>294</v>
      </c>
    </row>
    <row r="14" spans="2:2" ht="14.1" customHeight="1"/>
    <row r="15" spans="2:2" ht="24.2" customHeight="1">
      <c r="B15" s="196" t="s">
        <v>295</v>
      </c>
    </row>
    <row r="16" spans="2:2" ht="14.1" customHeight="1"/>
    <row r="17" spans="1:2" ht="14.1" customHeight="1">
      <c r="B17" s="196" t="s">
        <v>296</v>
      </c>
    </row>
    <row r="18" spans="1:2" ht="14.1" customHeight="1"/>
    <row r="19" spans="1:2" ht="63.75">
      <c r="B19" s="196" t="s">
        <v>297</v>
      </c>
    </row>
    <row r="21" spans="1:2" ht="15.75" customHeight="1"/>
    <row r="22" spans="1:2" ht="15.75" customHeight="1"/>
    <row r="23" spans="1:2" ht="15.75" customHeight="1"/>
    <row r="24" spans="1:2" ht="15.75" customHeight="1"/>
    <row r="25" spans="1:2" ht="38.25">
      <c r="B25" s="196" t="s">
        <v>298</v>
      </c>
    </row>
    <row r="26" spans="1:2" ht="13.7" customHeight="1"/>
    <row r="27" spans="1:2" ht="15.75" customHeight="1">
      <c r="B27" s="196" t="s">
        <v>299</v>
      </c>
    </row>
    <row r="28" spans="1:2" ht="15.75" customHeight="1"/>
    <row r="29" spans="1:2" ht="24.2" customHeight="1">
      <c r="B29" s="196" t="s">
        <v>300</v>
      </c>
    </row>
    <row r="30" spans="1:2" ht="14.1" customHeight="1">
      <c r="A30" s="119" t="s">
        <v>301</v>
      </c>
    </row>
    <row r="31" spans="1:2" ht="14.1" customHeight="1"/>
    <row r="32" spans="1:2" ht="15.75" customHeight="1"/>
    <row r="33" spans="1:1" ht="15.75" customHeight="1"/>
    <row r="34" spans="1:1" ht="14.1" customHeight="1"/>
    <row r="35" spans="1:1" ht="14.1" customHeight="1"/>
    <row r="36" spans="1:1" ht="14.1" customHeight="1"/>
    <row r="37" spans="1:1" ht="14.1" customHeight="1"/>
    <row r="38" spans="1:1">
      <c r="A38" s="197"/>
    </row>
    <row r="39" spans="1:1" ht="13.35" customHeight="1"/>
    <row r="40" spans="1:1" ht="15.75" customHeight="1"/>
    <row r="41" spans="1:1" ht="15.75" customHeight="1"/>
    <row r="42" spans="1:1" ht="13.7" customHeight="1"/>
    <row r="43" spans="1:1" ht="24.2" customHeight="1"/>
    <row r="44" spans="1:1" s="199" customFormat="1" ht="13.7" customHeight="1">
      <c r="A44" s="198"/>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view="pageLayout" zoomScaleNormal="100" workbookViewId="0">
      <selection sqref="A1:H1"/>
    </sheetView>
  </sheetViews>
  <sheetFormatPr baseColWidth="10" defaultRowHeight="12.75"/>
  <cols>
    <col min="1" max="1" width="5.140625" customWidth="1"/>
    <col min="2" max="2" width="35.85546875" customWidth="1"/>
    <col min="3" max="4" width="7.140625" customWidth="1"/>
    <col min="5" max="5" width="7.5703125" customWidth="1"/>
    <col min="6" max="6" width="8.7109375" customWidth="1"/>
    <col min="7" max="7" width="10.28515625" customWidth="1"/>
    <col min="8" max="8" width="8.7109375" customWidth="1"/>
    <col min="10" max="24" width="1.7109375" customWidth="1"/>
  </cols>
  <sheetData>
    <row r="1" spans="1:8" ht="39.75" customHeight="1">
      <c r="A1" s="229" t="s">
        <v>315</v>
      </c>
      <c r="B1" s="229"/>
      <c r="C1" s="229"/>
      <c r="D1" s="229"/>
      <c r="E1" s="229"/>
      <c r="F1" s="229"/>
      <c r="G1" s="229"/>
      <c r="H1" s="229"/>
    </row>
    <row r="2" spans="1:8">
      <c r="A2" s="229"/>
      <c r="B2" s="229"/>
      <c r="C2" s="229"/>
      <c r="D2" s="229"/>
      <c r="E2" s="229"/>
      <c r="F2" s="229"/>
      <c r="G2" s="229"/>
      <c r="H2" s="229"/>
    </row>
    <row r="3" spans="1:8" ht="18.600000000000001" customHeight="1">
      <c r="A3" s="230" t="s">
        <v>207</v>
      </c>
      <c r="B3" s="232" t="s">
        <v>0</v>
      </c>
      <c r="C3" s="233" t="s">
        <v>52</v>
      </c>
      <c r="D3" s="233"/>
      <c r="E3" s="228" t="s">
        <v>149</v>
      </c>
      <c r="F3" s="228"/>
      <c r="G3" s="228" t="s">
        <v>1</v>
      </c>
      <c r="H3" s="234"/>
    </row>
    <row r="4" spans="1:8" ht="25.5" customHeight="1">
      <c r="A4" s="231"/>
      <c r="B4" s="232"/>
      <c r="C4" s="233" t="s">
        <v>8</v>
      </c>
      <c r="D4" s="233"/>
      <c r="E4" s="233"/>
      <c r="F4" s="235" t="s">
        <v>226</v>
      </c>
      <c r="G4" s="235" t="s">
        <v>310</v>
      </c>
      <c r="H4" s="236" t="s">
        <v>226</v>
      </c>
    </row>
    <row r="5" spans="1:8" ht="25.5" customHeight="1">
      <c r="A5" s="231"/>
      <c r="B5" s="232"/>
      <c r="C5" s="56">
        <v>2016</v>
      </c>
      <c r="D5" s="55">
        <v>2015</v>
      </c>
      <c r="E5" s="55">
        <v>2016</v>
      </c>
      <c r="F5" s="235"/>
      <c r="G5" s="235"/>
      <c r="H5" s="236"/>
    </row>
    <row r="6" spans="1:8" ht="18.600000000000001" customHeight="1">
      <c r="A6" s="231"/>
      <c r="B6" s="232"/>
      <c r="C6" s="228" t="s">
        <v>124</v>
      </c>
      <c r="D6" s="228"/>
      <c r="E6" s="228"/>
      <c r="F6" s="52" t="s">
        <v>123</v>
      </c>
      <c r="G6" s="55" t="s">
        <v>2</v>
      </c>
      <c r="H6" s="57" t="s">
        <v>123</v>
      </c>
    </row>
    <row r="7" spans="1:8" ht="12.75" customHeight="1">
      <c r="A7" s="154"/>
      <c r="B7" s="155"/>
      <c r="C7" s="154"/>
      <c r="D7" s="154"/>
      <c r="E7" s="154"/>
      <c r="F7" s="154"/>
      <c r="G7" s="154"/>
      <c r="H7" s="154"/>
    </row>
    <row r="8" spans="1:8" ht="14.25" customHeight="1">
      <c r="A8" s="58" t="s">
        <v>56</v>
      </c>
      <c r="B8" s="59" t="s">
        <v>184</v>
      </c>
      <c r="C8" s="157">
        <v>4</v>
      </c>
      <c r="D8" s="157">
        <v>4</v>
      </c>
      <c r="E8" s="169" t="s">
        <v>290</v>
      </c>
      <c r="F8" s="169" t="s">
        <v>290</v>
      </c>
      <c r="G8" s="169" t="s">
        <v>290</v>
      </c>
      <c r="H8" s="169" t="s">
        <v>290</v>
      </c>
    </row>
    <row r="9" spans="1:8" ht="15.6" customHeight="1">
      <c r="A9" s="58" t="s">
        <v>57</v>
      </c>
      <c r="B9" s="59" t="s">
        <v>185</v>
      </c>
      <c r="C9" s="157">
        <v>1</v>
      </c>
      <c r="D9" s="157">
        <v>1</v>
      </c>
      <c r="E9" s="169" t="s">
        <v>290</v>
      </c>
      <c r="F9" s="169" t="s">
        <v>290</v>
      </c>
      <c r="G9" s="169" t="s">
        <v>290</v>
      </c>
      <c r="H9" s="169" t="s">
        <v>290</v>
      </c>
    </row>
    <row r="10" spans="1:8" ht="15.6" customHeight="1">
      <c r="A10" s="58" t="s">
        <v>58</v>
      </c>
      <c r="B10" s="59" t="s">
        <v>186</v>
      </c>
      <c r="C10" s="157">
        <v>3</v>
      </c>
      <c r="D10" s="157">
        <v>3</v>
      </c>
      <c r="E10" s="169">
        <v>80</v>
      </c>
      <c r="F10" s="169" t="s">
        <v>290</v>
      </c>
      <c r="G10" s="169">
        <v>3943</v>
      </c>
      <c r="H10" s="169" t="s">
        <v>290</v>
      </c>
    </row>
    <row r="11" spans="1:8" ht="16.899999999999999" customHeight="1">
      <c r="A11" s="58" t="s">
        <v>59</v>
      </c>
      <c r="B11" s="59" t="s">
        <v>187</v>
      </c>
      <c r="C11" s="157">
        <v>440</v>
      </c>
      <c r="D11" s="157">
        <v>429</v>
      </c>
      <c r="E11" s="208" t="s">
        <v>4</v>
      </c>
      <c r="F11" s="169" t="s">
        <v>290</v>
      </c>
      <c r="G11" s="208" t="s">
        <v>4</v>
      </c>
      <c r="H11" s="169" t="s">
        <v>290</v>
      </c>
    </row>
    <row r="12" spans="1:8" ht="15.6" customHeight="1">
      <c r="A12" s="60" t="s">
        <v>60</v>
      </c>
      <c r="B12" s="156" t="s">
        <v>156</v>
      </c>
      <c r="C12" s="157">
        <v>65</v>
      </c>
      <c r="D12" s="157">
        <v>66</v>
      </c>
      <c r="E12" s="160">
        <v>6482</v>
      </c>
      <c r="F12" s="205">
        <f>6482/6491*100-100</f>
        <v>-0.13865352025882771</v>
      </c>
      <c r="G12" s="159">
        <v>274456</v>
      </c>
      <c r="H12" s="161">
        <f>274456/270326*100-100</f>
        <v>1.5277849707390487</v>
      </c>
    </row>
    <row r="13" spans="1:8" ht="14.1" customHeight="1">
      <c r="A13" s="62" t="s">
        <v>61</v>
      </c>
      <c r="B13" s="63" t="s">
        <v>157</v>
      </c>
      <c r="C13" s="162">
        <v>9</v>
      </c>
      <c r="D13" s="162">
        <v>8</v>
      </c>
      <c r="E13" s="163">
        <v>483</v>
      </c>
      <c r="F13" s="206">
        <f>483/403*100-100</f>
        <v>19.851116625310183</v>
      </c>
      <c r="G13" s="165">
        <v>13962</v>
      </c>
      <c r="H13" s="166">
        <f>13962/10825*100-100</f>
        <v>28.979214780600472</v>
      </c>
    </row>
    <row r="14" spans="1:8" ht="14.1" customHeight="1">
      <c r="A14" s="62" t="s">
        <v>62</v>
      </c>
      <c r="B14" s="64" t="s">
        <v>158</v>
      </c>
      <c r="C14" s="162">
        <v>6</v>
      </c>
      <c r="D14" s="162">
        <v>6</v>
      </c>
      <c r="E14" s="162">
        <v>893</v>
      </c>
      <c r="F14" s="164">
        <f>893/896*100-100</f>
        <v>-0.3348214285714306</v>
      </c>
      <c r="G14" s="165">
        <v>54418</v>
      </c>
      <c r="H14" s="166">
        <f>54418/51719*100-100</f>
        <v>5.2185850461145833</v>
      </c>
    </row>
    <row r="15" spans="1:8" ht="24.2" customHeight="1">
      <c r="A15" s="48" t="s">
        <v>63</v>
      </c>
      <c r="B15" s="64" t="s">
        <v>223</v>
      </c>
      <c r="C15" s="162">
        <v>4</v>
      </c>
      <c r="D15" s="162">
        <v>4</v>
      </c>
      <c r="E15" s="162">
        <v>494</v>
      </c>
      <c r="F15" s="164">
        <f>494/492*100-100</f>
        <v>0.40650406504066439</v>
      </c>
      <c r="G15" s="165">
        <v>27721</v>
      </c>
      <c r="H15" s="166">
        <f>27721/30482*100-100</f>
        <v>-9.0578046059969779</v>
      </c>
    </row>
    <row r="16" spans="1:8" ht="14.1" customHeight="1">
      <c r="A16" s="65" t="s">
        <v>64</v>
      </c>
      <c r="B16" s="64" t="s">
        <v>159</v>
      </c>
      <c r="C16" s="162">
        <v>24</v>
      </c>
      <c r="D16" s="162">
        <v>25</v>
      </c>
      <c r="E16" s="163">
        <v>1651</v>
      </c>
      <c r="F16" s="164">
        <f>1651/1587*100-100</f>
        <v>4.0327662255828614</v>
      </c>
      <c r="G16" s="165">
        <v>44958</v>
      </c>
      <c r="H16" s="166">
        <f>44958/46747*100-100</f>
        <v>-3.8269835497465152</v>
      </c>
    </row>
    <row r="17" spans="1:8" ht="14.1" customHeight="1">
      <c r="A17" s="65" t="s">
        <v>65</v>
      </c>
      <c r="B17" s="64" t="s">
        <v>160</v>
      </c>
      <c r="C17" s="162">
        <v>23</v>
      </c>
      <c r="D17" s="162">
        <v>24</v>
      </c>
      <c r="E17" s="169" t="s">
        <v>4</v>
      </c>
      <c r="F17" s="169" t="s">
        <v>290</v>
      </c>
      <c r="G17" s="169" t="s">
        <v>4</v>
      </c>
      <c r="H17" s="169" t="s">
        <v>290</v>
      </c>
    </row>
    <row r="18" spans="1:8" ht="14.1" customHeight="1">
      <c r="A18" s="62" t="s">
        <v>66</v>
      </c>
      <c r="B18" s="64" t="s">
        <v>161</v>
      </c>
      <c r="C18" s="162">
        <v>12</v>
      </c>
      <c r="D18" s="162">
        <v>13</v>
      </c>
      <c r="E18" s="163">
        <v>2118</v>
      </c>
      <c r="F18" s="164">
        <f>2118/2271*100-100</f>
        <v>-6.737120211360633</v>
      </c>
      <c r="G18" s="165">
        <v>88728</v>
      </c>
      <c r="H18" s="166">
        <f>88728/90284*100-100</f>
        <v>-1.7234504452616193</v>
      </c>
    </row>
    <row r="19" spans="1:8" ht="15.6" customHeight="1">
      <c r="A19" s="60" t="s">
        <v>67</v>
      </c>
      <c r="B19" s="66" t="s">
        <v>162</v>
      </c>
      <c r="C19" s="157">
        <v>4</v>
      </c>
      <c r="D19" s="157">
        <v>3</v>
      </c>
      <c r="E19" s="157">
        <v>344</v>
      </c>
      <c r="F19" s="158">
        <f>344/335*100-100</f>
        <v>2.6865671641790954</v>
      </c>
      <c r="G19" s="159">
        <v>19729</v>
      </c>
      <c r="H19" s="161">
        <f>19729/16208*100-100</f>
        <v>21.723840078973339</v>
      </c>
    </row>
    <row r="20" spans="1:8" ht="15.6" customHeight="1">
      <c r="A20" s="60" t="s">
        <v>68</v>
      </c>
      <c r="B20" s="66" t="s">
        <v>120</v>
      </c>
      <c r="C20" s="157">
        <v>2</v>
      </c>
      <c r="D20" s="157">
        <v>2</v>
      </c>
      <c r="E20" s="169" t="s">
        <v>290</v>
      </c>
      <c r="F20" s="169" t="s">
        <v>290</v>
      </c>
      <c r="G20" s="169" t="s">
        <v>290</v>
      </c>
      <c r="H20" s="169" t="s">
        <v>290</v>
      </c>
    </row>
    <row r="21" spans="1:8" ht="15.75" customHeight="1">
      <c r="A21" s="60" t="s">
        <v>198</v>
      </c>
      <c r="B21" s="66" t="s">
        <v>199</v>
      </c>
      <c r="C21" s="157">
        <v>2</v>
      </c>
      <c r="D21" s="157">
        <v>2</v>
      </c>
      <c r="E21" s="169" t="s">
        <v>290</v>
      </c>
      <c r="F21" s="169" t="s">
        <v>290</v>
      </c>
      <c r="G21" s="169" t="s">
        <v>290</v>
      </c>
      <c r="H21" s="169" t="s">
        <v>290</v>
      </c>
    </row>
    <row r="22" spans="1:8" ht="15.75" customHeight="1">
      <c r="A22" s="60" t="s">
        <v>200</v>
      </c>
      <c r="B22" s="66" t="s">
        <v>201</v>
      </c>
      <c r="C22" s="157">
        <v>1</v>
      </c>
      <c r="D22" s="157">
        <v>1</v>
      </c>
      <c r="E22" s="169" t="s">
        <v>290</v>
      </c>
      <c r="F22" s="169" t="s">
        <v>290</v>
      </c>
      <c r="G22" s="169" t="s">
        <v>290</v>
      </c>
      <c r="H22" s="169" t="s">
        <v>290</v>
      </c>
    </row>
    <row r="23" spans="1:8" ht="15.75" customHeight="1">
      <c r="A23" s="60" t="s">
        <v>69</v>
      </c>
      <c r="B23" s="66" t="s">
        <v>163</v>
      </c>
      <c r="C23" s="157">
        <v>5</v>
      </c>
      <c r="D23" s="157">
        <v>5</v>
      </c>
      <c r="E23" s="157">
        <v>202</v>
      </c>
      <c r="F23" s="158">
        <f>202/159*100-100</f>
        <v>27.044025157232696</v>
      </c>
      <c r="G23" s="159">
        <v>7248</v>
      </c>
      <c r="H23" s="161">
        <f>7248/5188*100-100</f>
        <v>39.707016191210499</v>
      </c>
    </row>
    <row r="24" spans="1:8" ht="15.75" customHeight="1">
      <c r="A24" s="60" t="s">
        <v>70</v>
      </c>
      <c r="B24" s="66" t="s">
        <v>164</v>
      </c>
      <c r="C24" s="157">
        <v>2</v>
      </c>
      <c r="D24" s="157">
        <v>1</v>
      </c>
      <c r="E24" s="169" t="s">
        <v>290</v>
      </c>
      <c r="F24" s="169" t="s">
        <v>290</v>
      </c>
      <c r="G24" s="169" t="s">
        <v>290</v>
      </c>
      <c r="H24" s="169" t="s">
        <v>290</v>
      </c>
    </row>
    <row r="25" spans="1:8" ht="25.5" customHeight="1">
      <c r="A25" s="51" t="s">
        <v>71</v>
      </c>
      <c r="B25" s="61" t="s">
        <v>209</v>
      </c>
      <c r="C25" s="157">
        <v>29</v>
      </c>
      <c r="D25" s="157">
        <v>32</v>
      </c>
      <c r="E25" s="160">
        <v>1251</v>
      </c>
      <c r="F25" s="158">
        <v>-7.3</v>
      </c>
      <c r="G25" s="159">
        <v>44308</v>
      </c>
      <c r="H25" s="161">
        <f>44308/47859*100-100</f>
        <v>-7.4197120708748656</v>
      </c>
    </row>
    <row r="26" spans="1:8" ht="13.7" customHeight="1">
      <c r="A26" s="62" t="s">
        <v>72</v>
      </c>
      <c r="B26" s="67" t="s">
        <v>188</v>
      </c>
      <c r="C26" s="162">
        <v>17</v>
      </c>
      <c r="D26" s="162">
        <v>18</v>
      </c>
      <c r="E26" s="162">
        <v>711</v>
      </c>
      <c r="F26" s="164">
        <f>711/768*100-100</f>
        <v>-7.421875</v>
      </c>
      <c r="G26" s="165">
        <v>26018</v>
      </c>
      <c r="H26" s="166">
        <f>26018/28528*100-100</f>
        <v>-8.7983735277621946</v>
      </c>
    </row>
    <row r="27" spans="1:8" ht="15.75" customHeight="1">
      <c r="A27" s="60" t="s">
        <v>73</v>
      </c>
      <c r="B27" s="61" t="s">
        <v>165</v>
      </c>
      <c r="C27" s="157">
        <v>11</v>
      </c>
      <c r="D27" s="157">
        <v>11</v>
      </c>
      <c r="E27" s="160">
        <v>3730</v>
      </c>
      <c r="F27" s="161">
        <f>3730/3821*100-100</f>
        <v>-2.3815755037948207</v>
      </c>
      <c r="G27" s="159">
        <v>334243</v>
      </c>
      <c r="H27" s="161">
        <f>334243/338106*100-100</f>
        <v>-1.1425410965791798</v>
      </c>
    </row>
    <row r="28" spans="1:8" ht="15.75" customHeight="1">
      <c r="A28" s="60" t="s">
        <v>74</v>
      </c>
      <c r="B28" s="61" t="s">
        <v>166</v>
      </c>
      <c r="C28" s="157">
        <v>29</v>
      </c>
      <c r="D28" s="157">
        <v>28</v>
      </c>
      <c r="E28" s="157">
        <v>3839</v>
      </c>
      <c r="F28" s="158">
        <f>3839/3611*100-100</f>
        <v>6.3140404320132859</v>
      </c>
      <c r="G28" s="159">
        <v>230353</v>
      </c>
      <c r="H28" s="161">
        <f>230353/214305*100-100</f>
        <v>7.4883927113226463</v>
      </c>
    </row>
    <row r="29" spans="1:8" ht="37.5" customHeight="1">
      <c r="A29" s="48" t="s">
        <v>75</v>
      </c>
      <c r="B29" s="64" t="s">
        <v>222</v>
      </c>
      <c r="C29" s="162">
        <v>14</v>
      </c>
      <c r="D29" s="162">
        <v>13</v>
      </c>
      <c r="E29" s="162">
        <v>1176</v>
      </c>
      <c r="F29" s="164">
        <f>1176/1008*100-100</f>
        <v>16.666666666666671</v>
      </c>
      <c r="G29" s="165">
        <v>88090</v>
      </c>
      <c r="H29" s="167">
        <f>88090/79166*100-100</f>
        <v>11.272515979081916</v>
      </c>
    </row>
    <row r="30" spans="1:8" ht="14.1" customHeight="1">
      <c r="A30" s="62" t="s">
        <v>76</v>
      </c>
      <c r="B30" s="64" t="s">
        <v>167</v>
      </c>
      <c r="C30" s="162">
        <v>9</v>
      </c>
      <c r="D30" s="162">
        <v>9</v>
      </c>
      <c r="E30" s="162">
        <v>926</v>
      </c>
      <c r="F30" s="164">
        <f>926/931*100-100</f>
        <v>-0.53705692803437444</v>
      </c>
      <c r="G30" s="165">
        <v>54611</v>
      </c>
      <c r="H30" s="166">
        <f>54611/52158*100-100</f>
        <v>4.7030177537482132</v>
      </c>
    </row>
    <row r="31" spans="1:8" ht="14.1" customHeight="1">
      <c r="A31" s="62" t="s">
        <v>77</v>
      </c>
      <c r="B31" s="64" t="s">
        <v>208</v>
      </c>
      <c r="C31" s="162">
        <v>5</v>
      </c>
      <c r="D31" s="162">
        <v>5</v>
      </c>
      <c r="E31" s="162">
        <v>461</v>
      </c>
      <c r="F31" s="166">
        <f>461/470*100-100</f>
        <v>-1.9148936170212778</v>
      </c>
      <c r="G31" s="168">
        <v>27656</v>
      </c>
      <c r="H31" s="167">
        <f>27656/26107*100-100</f>
        <v>5.9332746006817985</v>
      </c>
    </row>
    <row r="32" spans="1:8" ht="15.75" customHeight="1">
      <c r="A32" s="60" t="s">
        <v>78</v>
      </c>
      <c r="B32" s="61" t="s">
        <v>168</v>
      </c>
      <c r="C32" s="157">
        <v>7</v>
      </c>
      <c r="D32" s="157">
        <v>6</v>
      </c>
      <c r="E32" s="160">
        <v>1280</v>
      </c>
      <c r="F32" s="158">
        <f>1280/1226*100-100</f>
        <v>4.4045676998368606</v>
      </c>
      <c r="G32" s="159">
        <v>68570</v>
      </c>
      <c r="H32" s="161">
        <f>68570/66157*100-100</f>
        <v>3.6473842526112179</v>
      </c>
    </row>
    <row r="33" spans="1:8" ht="15.75" customHeight="1">
      <c r="A33" s="60" t="s">
        <v>79</v>
      </c>
      <c r="B33" s="61" t="s">
        <v>169</v>
      </c>
      <c r="C33" s="157">
        <v>20</v>
      </c>
      <c r="D33" s="157">
        <v>21</v>
      </c>
      <c r="E33" s="157">
        <v>3381</v>
      </c>
      <c r="F33" s="158">
        <f>3381/3538*100-100</f>
        <v>-4.4375353306953116</v>
      </c>
      <c r="G33" s="159">
        <v>177131</v>
      </c>
      <c r="H33" s="161">
        <f>177131/181950*100-100</f>
        <v>-2.648529815883478</v>
      </c>
    </row>
    <row r="34" spans="1:8" ht="14.1" customHeight="1">
      <c r="A34" s="62" t="s">
        <v>80</v>
      </c>
      <c r="B34" s="64" t="s">
        <v>170</v>
      </c>
      <c r="C34" s="162">
        <v>9</v>
      </c>
      <c r="D34" s="162">
        <v>8</v>
      </c>
      <c r="E34" s="162">
        <v>2024</v>
      </c>
      <c r="F34" s="164">
        <f>2024/1584*100-100</f>
        <v>27.777777777777771</v>
      </c>
      <c r="G34" s="165">
        <v>106677</v>
      </c>
      <c r="H34" s="166">
        <f>106677/84170*100-100</f>
        <v>26.739931091837946</v>
      </c>
    </row>
    <row r="35" spans="1:8" ht="14.1" customHeight="1">
      <c r="A35" s="62" t="s">
        <v>81</v>
      </c>
      <c r="B35" s="64" t="s">
        <v>171</v>
      </c>
      <c r="C35" s="162">
        <v>9</v>
      </c>
      <c r="D35" s="162">
        <v>8</v>
      </c>
      <c r="E35" s="162">
        <v>2024</v>
      </c>
      <c r="F35" s="164">
        <f>2024/1584*100-100</f>
        <v>27.777777777777771</v>
      </c>
      <c r="G35" s="165">
        <v>106677</v>
      </c>
      <c r="H35" s="166">
        <f>106677/84170*100-100</f>
        <v>26.739931091837946</v>
      </c>
    </row>
    <row r="36" spans="1:8" ht="14.1" customHeight="1">
      <c r="A36" s="62" t="s">
        <v>82</v>
      </c>
      <c r="B36" s="64" t="s">
        <v>172</v>
      </c>
      <c r="C36" s="162">
        <v>11</v>
      </c>
      <c r="D36" s="162">
        <v>13</v>
      </c>
      <c r="E36" s="162">
        <v>1357</v>
      </c>
      <c r="F36" s="164">
        <f>1357/1954*100-100</f>
        <v>-30.552712384851588</v>
      </c>
      <c r="G36" s="165">
        <v>70454</v>
      </c>
      <c r="H36" s="166">
        <f>70454/97781*100-100</f>
        <v>-27.947147196285584</v>
      </c>
    </row>
    <row r="37" spans="1:8" ht="14.1" customHeight="1">
      <c r="A37" s="62" t="s">
        <v>83</v>
      </c>
      <c r="B37" s="64" t="s">
        <v>189</v>
      </c>
      <c r="C37" s="162">
        <v>5</v>
      </c>
      <c r="D37" s="162">
        <v>7</v>
      </c>
      <c r="E37" s="162">
        <v>1012</v>
      </c>
      <c r="F37" s="164">
        <f>1012/1636*100-100</f>
        <v>-38.141809290953546</v>
      </c>
      <c r="G37" s="165">
        <v>55615</v>
      </c>
      <c r="H37" s="166">
        <f>55615/84332*100-100</f>
        <v>-34.052317032680364</v>
      </c>
    </row>
    <row r="38" spans="1:8" ht="25.5" customHeight="1">
      <c r="A38" s="51" t="s">
        <v>84</v>
      </c>
      <c r="B38" s="66" t="s">
        <v>227</v>
      </c>
      <c r="C38" s="157">
        <v>24</v>
      </c>
      <c r="D38" s="157">
        <v>15</v>
      </c>
      <c r="E38" s="157">
        <v>462</v>
      </c>
      <c r="F38" s="158">
        <f>462/371*100-100</f>
        <v>24.528301886792448</v>
      </c>
      <c r="G38" s="159">
        <v>26830</v>
      </c>
      <c r="H38" s="161">
        <f>26830/22301*100-100</f>
        <v>20.308506345006961</v>
      </c>
    </row>
    <row r="39" spans="1:8" ht="13.35" customHeight="1">
      <c r="A39" s="62" t="s">
        <v>85</v>
      </c>
      <c r="B39" s="67" t="s">
        <v>220</v>
      </c>
      <c r="C39" s="162">
        <v>16</v>
      </c>
      <c r="D39" s="162">
        <v>9</v>
      </c>
      <c r="E39" s="162">
        <v>124</v>
      </c>
      <c r="F39" s="164">
        <f>124/93*100-100</f>
        <v>33.333333333333314</v>
      </c>
      <c r="G39" s="165">
        <v>4589</v>
      </c>
      <c r="H39" s="166">
        <f>4589/3333*100-100</f>
        <v>37.683768376837691</v>
      </c>
    </row>
    <row r="40" spans="1:8" ht="15.75" customHeight="1">
      <c r="A40" s="60" t="s">
        <v>86</v>
      </c>
      <c r="B40" s="61" t="s">
        <v>173</v>
      </c>
      <c r="C40" s="157">
        <v>5</v>
      </c>
      <c r="D40" s="157">
        <v>5</v>
      </c>
      <c r="E40" s="157">
        <v>3949</v>
      </c>
      <c r="F40" s="158">
        <f>3949/3870*100-100</f>
        <v>2.0413436692506366</v>
      </c>
      <c r="G40" s="159">
        <v>260245</v>
      </c>
      <c r="H40" s="161">
        <f>260245/241942*100-100</f>
        <v>7.5650362483570461</v>
      </c>
    </row>
    <row r="41" spans="1:8" ht="15.75" customHeight="1">
      <c r="A41" s="60" t="s">
        <v>87</v>
      </c>
      <c r="B41" s="61" t="s">
        <v>174</v>
      </c>
      <c r="C41" s="157">
        <v>28</v>
      </c>
      <c r="D41" s="157">
        <v>28</v>
      </c>
      <c r="E41" s="157">
        <v>1663</v>
      </c>
      <c r="F41" s="158">
        <f>1663/1718*100-100</f>
        <v>-3.201396973224675</v>
      </c>
      <c r="G41" s="159">
        <v>69510</v>
      </c>
      <c r="H41" s="161">
        <f>69510/72755*100-100</f>
        <v>-4.4601745584495944</v>
      </c>
    </row>
    <row r="42" spans="1:8" ht="13.7" customHeight="1">
      <c r="A42" s="62" t="s">
        <v>88</v>
      </c>
      <c r="B42" s="67" t="s">
        <v>219</v>
      </c>
      <c r="C42" s="162">
        <v>4</v>
      </c>
      <c r="D42" s="162">
        <v>6</v>
      </c>
      <c r="E42" s="162">
        <v>200</v>
      </c>
      <c r="F42" s="164">
        <f>200/242*100-100</f>
        <v>-17.355371900826441</v>
      </c>
      <c r="G42" s="165">
        <v>7246</v>
      </c>
      <c r="H42" s="166">
        <f>7246/8912*100-100</f>
        <v>-18.693895870736085</v>
      </c>
    </row>
    <row r="43" spans="1:8" ht="24.2" customHeight="1">
      <c r="A43" s="48" t="s">
        <v>89</v>
      </c>
      <c r="B43" s="64" t="s">
        <v>221</v>
      </c>
      <c r="C43" s="162">
        <v>13</v>
      </c>
      <c r="D43" s="162">
        <v>11</v>
      </c>
      <c r="E43" s="162">
        <v>666</v>
      </c>
      <c r="F43" s="164">
        <f>666/700*100-100</f>
        <v>-4.8571428571428612</v>
      </c>
      <c r="G43" s="165">
        <v>33285</v>
      </c>
      <c r="H43" s="166">
        <f>33285/34204*100-100</f>
        <v>-2.6868202549409403</v>
      </c>
    </row>
    <row r="44" spans="1:8" ht="13.7" customHeight="1">
      <c r="A44" s="62" t="s">
        <v>90</v>
      </c>
      <c r="B44" s="67" t="s">
        <v>192</v>
      </c>
      <c r="C44" s="162">
        <v>8</v>
      </c>
      <c r="D44" s="162">
        <v>8</v>
      </c>
      <c r="E44" s="162">
        <v>259</v>
      </c>
      <c r="F44" s="164">
        <f>259/252*100-100</f>
        <v>2.7777777777777715</v>
      </c>
      <c r="G44" s="165">
        <v>8773</v>
      </c>
      <c r="H44" s="166">
        <f>8773/10506*100-100</f>
        <v>-16.49533599847706</v>
      </c>
    </row>
    <row r="45" spans="1:8" ht="27">
      <c r="A45" s="51" t="s">
        <v>91</v>
      </c>
      <c r="B45" s="61" t="s">
        <v>218</v>
      </c>
      <c r="C45" s="157">
        <v>23</v>
      </c>
      <c r="D45" s="157">
        <v>24</v>
      </c>
      <c r="E45" s="157">
        <v>4908</v>
      </c>
      <c r="F45" s="158">
        <f>4908/5035*100-100</f>
        <v>-2.5223435948361583</v>
      </c>
      <c r="G45" s="159">
        <v>321470</v>
      </c>
      <c r="H45" s="161">
        <f>321470/316980*100-100</f>
        <v>1.4164931541422021</v>
      </c>
    </row>
    <row r="46" spans="1:8" ht="27">
      <c r="A46" s="48" t="s">
        <v>92</v>
      </c>
      <c r="B46" s="64" t="s">
        <v>228</v>
      </c>
      <c r="C46" s="162">
        <v>11</v>
      </c>
      <c r="D46" s="162">
        <v>11</v>
      </c>
      <c r="E46" s="162">
        <v>1019</v>
      </c>
      <c r="F46" s="164">
        <f>1019/1006*100-100</f>
        <v>1.2922465208747553</v>
      </c>
      <c r="G46" s="165">
        <v>52962</v>
      </c>
      <c r="H46" s="194">
        <v>4.0999999999999996</v>
      </c>
    </row>
    <row r="47" spans="1:8" ht="15.6" customHeight="1">
      <c r="A47" s="60" t="s">
        <v>93</v>
      </c>
      <c r="B47" s="61" t="s">
        <v>176</v>
      </c>
      <c r="C47" s="157">
        <v>13</v>
      </c>
      <c r="D47" s="157">
        <v>14</v>
      </c>
      <c r="E47" s="157">
        <v>1397</v>
      </c>
      <c r="F47" s="158">
        <f>1397/1418*100-100</f>
        <v>-1.4809590973201665</v>
      </c>
      <c r="G47" s="159">
        <v>87792</v>
      </c>
      <c r="H47" s="161">
        <f>87792/84278*100-100</f>
        <v>4.1695341607536989</v>
      </c>
    </row>
    <row r="48" spans="1:8" ht="27">
      <c r="A48" s="48" t="s">
        <v>94</v>
      </c>
      <c r="B48" s="64" t="s">
        <v>211</v>
      </c>
      <c r="C48" s="162">
        <v>5</v>
      </c>
      <c r="D48" s="162">
        <v>6</v>
      </c>
      <c r="E48" s="162">
        <v>276</v>
      </c>
      <c r="F48" s="164">
        <f>276/295*100-100</f>
        <v>-6.4406779661016884</v>
      </c>
      <c r="G48" s="165">
        <v>15996</v>
      </c>
      <c r="H48" s="166">
        <f>15996/16473*100-100</f>
        <v>-2.8956474230559195</v>
      </c>
    </row>
    <row r="49" spans="1:8" ht="27">
      <c r="A49" s="48" t="s">
        <v>95</v>
      </c>
      <c r="B49" s="64" t="s">
        <v>210</v>
      </c>
      <c r="C49" s="162">
        <v>3</v>
      </c>
      <c r="D49" s="162">
        <v>3</v>
      </c>
      <c r="E49" s="162">
        <v>449</v>
      </c>
      <c r="F49" s="164">
        <f>449/459*100-100</f>
        <v>-2.1786492374727686</v>
      </c>
      <c r="G49" s="165">
        <v>26554</v>
      </c>
      <c r="H49" s="166">
        <f>26554/26798*100-100</f>
        <v>-0.91051571012762622</v>
      </c>
    </row>
    <row r="50" spans="1:8" ht="15.6" customHeight="1">
      <c r="A50" s="60" t="s">
        <v>96</v>
      </c>
      <c r="B50" s="66" t="s">
        <v>177</v>
      </c>
      <c r="C50" s="157">
        <v>49</v>
      </c>
      <c r="D50" s="157">
        <v>49</v>
      </c>
      <c r="E50" s="157">
        <v>10761</v>
      </c>
      <c r="F50" s="158">
        <f>10761/10818*100-100</f>
        <v>-0.52689961175818212</v>
      </c>
      <c r="G50" s="159">
        <v>649967</v>
      </c>
      <c r="H50" s="161">
        <f>649967/641093*100-100</f>
        <v>1.3841985484165349</v>
      </c>
    </row>
    <row r="51" spans="1:8" ht="13.5">
      <c r="A51" s="62" t="s">
        <v>97</v>
      </c>
      <c r="B51" s="67" t="s">
        <v>214</v>
      </c>
      <c r="C51" s="162">
        <v>5</v>
      </c>
      <c r="D51" s="162">
        <v>5</v>
      </c>
      <c r="E51" s="162">
        <v>513</v>
      </c>
      <c r="F51" s="164">
        <f>513/491*100-100</f>
        <v>4.4806517311609042</v>
      </c>
      <c r="G51" s="165">
        <v>27860</v>
      </c>
      <c r="H51" s="166">
        <f>27860/26321*100-100</f>
        <v>5.8470422856274524</v>
      </c>
    </row>
    <row r="52" spans="1:8" ht="27">
      <c r="A52" s="48" t="s">
        <v>98</v>
      </c>
      <c r="B52" s="64" t="s">
        <v>217</v>
      </c>
      <c r="C52" s="162">
        <v>15</v>
      </c>
      <c r="D52" s="162">
        <v>18</v>
      </c>
      <c r="E52" s="162">
        <v>4651</v>
      </c>
      <c r="F52" s="164">
        <f>4651/4848*100-100</f>
        <v>-4.0635313531353177</v>
      </c>
      <c r="G52" s="165">
        <v>259369</v>
      </c>
      <c r="H52" s="166">
        <f>259369/262332*100-100</f>
        <v>-1.1294847750179144</v>
      </c>
    </row>
    <row r="53" spans="1:8" ht="13.5">
      <c r="A53" s="62" t="s">
        <v>99</v>
      </c>
      <c r="B53" s="67" t="s">
        <v>193</v>
      </c>
      <c r="C53" s="162">
        <v>5</v>
      </c>
      <c r="D53" s="162">
        <v>5</v>
      </c>
      <c r="E53" s="162">
        <v>3338</v>
      </c>
      <c r="F53" s="164">
        <f>3338/3420*100-100</f>
        <v>-2.3976608187134474</v>
      </c>
      <c r="G53" s="165">
        <v>197893</v>
      </c>
      <c r="H53" s="166">
        <f>197893/194523*100-100</f>
        <v>1.7324429501909719</v>
      </c>
    </row>
    <row r="54" spans="1:8" ht="27">
      <c r="A54" s="48" t="s">
        <v>100</v>
      </c>
      <c r="B54" s="64" t="s">
        <v>215</v>
      </c>
      <c r="C54" s="162">
        <v>6</v>
      </c>
      <c r="D54" s="162">
        <v>9</v>
      </c>
      <c r="E54" s="162">
        <v>255</v>
      </c>
      <c r="F54" s="164">
        <f>255/351*100-100</f>
        <v>-27.350427350427353</v>
      </c>
      <c r="G54" s="165">
        <v>12837</v>
      </c>
      <c r="H54" s="166">
        <f>12837/18183*100-100</f>
        <v>-29.401088929219597</v>
      </c>
    </row>
    <row r="55" spans="1:8" ht="27">
      <c r="A55" s="62" t="s">
        <v>101</v>
      </c>
      <c r="B55" s="64" t="s">
        <v>194</v>
      </c>
      <c r="C55" s="162">
        <v>20</v>
      </c>
      <c r="D55" s="162">
        <v>17</v>
      </c>
      <c r="E55" s="162">
        <v>3234</v>
      </c>
      <c r="F55" s="164">
        <f>3234/3247*100-100</f>
        <v>-0.40036957191253464</v>
      </c>
      <c r="G55" s="165">
        <v>207076</v>
      </c>
      <c r="H55" s="166">
        <f>207076/210829*100-100</f>
        <v>-1.7801156387403978</v>
      </c>
    </row>
    <row r="56" spans="1:8" ht="15.6" customHeight="1">
      <c r="A56" s="68" t="s">
        <v>102</v>
      </c>
      <c r="B56" s="66" t="s">
        <v>178</v>
      </c>
      <c r="C56" s="157">
        <v>2</v>
      </c>
      <c r="D56" s="157">
        <v>2</v>
      </c>
      <c r="E56" s="169" t="s">
        <v>290</v>
      </c>
      <c r="F56" s="169" t="s">
        <v>290</v>
      </c>
      <c r="G56" s="169" t="s">
        <v>290</v>
      </c>
      <c r="H56" s="169" t="s">
        <v>290</v>
      </c>
    </row>
    <row r="57" spans="1:8" ht="15.6" customHeight="1">
      <c r="A57" s="60" t="s">
        <v>103</v>
      </c>
      <c r="B57" s="61" t="s">
        <v>179</v>
      </c>
      <c r="C57" s="157">
        <v>15</v>
      </c>
      <c r="D57" s="157">
        <v>14</v>
      </c>
      <c r="E57" s="157">
        <v>16641</v>
      </c>
      <c r="F57" s="158">
        <f>16641/16401*100-100</f>
        <v>1.4633254069873658</v>
      </c>
      <c r="G57" s="159">
        <v>1260630</v>
      </c>
      <c r="H57" s="161">
        <f>1260630/1204165*100-100</f>
        <v>4.6891414382580479</v>
      </c>
    </row>
    <row r="58" spans="1:8" ht="13.5">
      <c r="A58" s="62" t="s">
        <v>104</v>
      </c>
      <c r="B58" s="64" t="s">
        <v>180</v>
      </c>
      <c r="C58" s="162">
        <v>5</v>
      </c>
      <c r="D58" s="162">
        <v>5</v>
      </c>
      <c r="E58" s="162">
        <v>1537</v>
      </c>
      <c r="F58" s="164">
        <f>1537/1345*100-100</f>
        <v>14.275092936802977</v>
      </c>
      <c r="G58" s="165">
        <v>88095</v>
      </c>
      <c r="H58" s="166">
        <f>88095/81754*100-100</f>
        <v>7.7561954155148385</v>
      </c>
    </row>
    <row r="59" spans="1:8" ht="15.6" customHeight="1">
      <c r="A59" s="60" t="s">
        <v>105</v>
      </c>
      <c r="B59" s="70" t="s">
        <v>195</v>
      </c>
      <c r="C59" s="157">
        <v>3</v>
      </c>
      <c r="D59" s="157">
        <v>3</v>
      </c>
      <c r="E59" s="169">
        <v>88</v>
      </c>
      <c r="F59" s="195">
        <f>88/95*100-100</f>
        <v>-7.3684210526315752</v>
      </c>
      <c r="G59" s="171">
        <v>2522</v>
      </c>
      <c r="H59" s="161">
        <f>2522/2658*100-100</f>
        <v>-5.116629044394287</v>
      </c>
    </row>
    <row r="60" spans="1:8" ht="15.6" customHeight="1">
      <c r="A60" s="60" t="s">
        <v>106</v>
      </c>
      <c r="B60" s="61" t="s">
        <v>181</v>
      </c>
      <c r="C60" s="157">
        <v>29</v>
      </c>
      <c r="D60" s="157">
        <v>30</v>
      </c>
      <c r="E60" s="157">
        <v>4298</v>
      </c>
      <c r="F60" s="158">
        <f>4298/4132*100-100</f>
        <v>4.0174249757986473</v>
      </c>
      <c r="G60" s="159">
        <v>205251</v>
      </c>
      <c r="H60" s="161">
        <f>205251/188527*100-100</f>
        <v>8.8708779113866996</v>
      </c>
    </row>
    <row r="61" spans="1:8" ht="27">
      <c r="A61" s="48" t="s">
        <v>107</v>
      </c>
      <c r="B61" s="64" t="s">
        <v>213</v>
      </c>
      <c r="C61" s="162">
        <v>23</v>
      </c>
      <c r="D61" s="162">
        <v>24</v>
      </c>
      <c r="E61" s="162">
        <v>2786</v>
      </c>
      <c r="F61" s="164">
        <f>2786/2587*100-100</f>
        <v>7.6923076923076934</v>
      </c>
      <c r="G61" s="165">
        <v>130601</v>
      </c>
      <c r="H61" s="166">
        <f>130601/116431*100-100</f>
        <v>12.170298288256561</v>
      </c>
    </row>
    <row r="62" spans="1:8" ht="25.5" customHeight="1">
      <c r="A62" s="51" t="s">
        <v>108</v>
      </c>
      <c r="B62" s="61" t="s">
        <v>212</v>
      </c>
      <c r="C62" s="157">
        <v>72</v>
      </c>
      <c r="D62" s="157">
        <v>67</v>
      </c>
      <c r="E62" s="157">
        <v>16000</v>
      </c>
      <c r="F62" s="158">
        <f>16000/15877*100-100</f>
        <v>0.77470554890722099</v>
      </c>
      <c r="G62" s="159">
        <v>870309</v>
      </c>
      <c r="H62" s="161">
        <f>870309/921996*100-100</f>
        <v>-5.6059896138378065</v>
      </c>
    </row>
    <row r="63" spans="1:8" ht="27">
      <c r="A63" s="48" t="s">
        <v>109</v>
      </c>
      <c r="B63" s="64" t="s">
        <v>216</v>
      </c>
      <c r="C63" s="162">
        <v>45</v>
      </c>
      <c r="D63" s="162">
        <v>40</v>
      </c>
      <c r="E63" s="162">
        <v>10861</v>
      </c>
      <c r="F63" s="164">
        <f>10861/10870*100-100</f>
        <v>-8.2796688132475538E-2</v>
      </c>
      <c r="G63" s="165">
        <v>644499</v>
      </c>
      <c r="H63" s="166">
        <f>644499/628247*100-100</f>
        <v>2.5868806377109479</v>
      </c>
    </row>
    <row r="64" spans="1:8" ht="13.5">
      <c r="A64" s="62" t="s">
        <v>110</v>
      </c>
      <c r="B64" s="67" t="s">
        <v>121</v>
      </c>
      <c r="C64" s="162">
        <v>4</v>
      </c>
      <c r="D64" s="162">
        <v>4</v>
      </c>
      <c r="E64" s="162">
        <v>355</v>
      </c>
      <c r="F64" s="164">
        <f>355/351*100-100</f>
        <v>1.1396011396011403</v>
      </c>
      <c r="G64" s="165">
        <v>21385</v>
      </c>
      <c r="H64" s="166">
        <f>21385/20803*100-100</f>
        <v>2.797673412488578</v>
      </c>
    </row>
    <row r="65" spans="1:11" ht="13.5">
      <c r="A65" s="62" t="s">
        <v>111</v>
      </c>
      <c r="B65" s="64" t="s">
        <v>122</v>
      </c>
      <c r="C65" s="162">
        <v>24</v>
      </c>
      <c r="D65" s="162">
        <v>22</v>
      </c>
      <c r="E65" s="162">
        <v>1560</v>
      </c>
      <c r="F65" s="164">
        <f>1560/1748*100-100</f>
        <v>-10.755148741418765</v>
      </c>
      <c r="G65" s="165">
        <v>98884</v>
      </c>
      <c r="H65" s="166">
        <f>98884/102380*100-100</f>
        <v>-3.4147294393436169</v>
      </c>
    </row>
    <row r="66" spans="1:11" s="115" customFormat="1" ht="27">
      <c r="A66" s="48" t="s">
        <v>112</v>
      </c>
      <c r="B66" s="64" t="s">
        <v>225</v>
      </c>
      <c r="C66" s="162">
        <v>3</v>
      </c>
      <c r="D66" s="162">
        <v>2</v>
      </c>
      <c r="E66" s="169" t="s">
        <v>290</v>
      </c>
      <c r="F66" s="169" t="s">
        <v>290</v>
      </c>
      <c r="G66" s="169" t="s">
        <v>4</v>
      </c>
      <c r="H66" s="169" t="s">
        <v>290</v>
      </c>
    </row>
    <row r="67" spans="1:11" ht="13.5">
      <c r="A67" s="62" t="s">
        <v>113</v>
      </c>
      <c r="B67" s="67" t="s">
        <v>196</v>
      </c>
      <c r="C67" s="162">
        <v>4</v>
      </c>
      <c r="D67" s="162">
        <v>4</v>
      </c>
      <c r="E67" s="162">
        <v>143</v>
      </c>
      <c r="F67" s="164">
        <f>143/127*100-100</f>
        <v>12.5984251968504</v>
      </c>
      <c r="G67" s="165">
        <v>5599</v>
      </c>
      <c r="H67" s="166">
        <f>5599/5273*100-100</f>
        <v>6.1824388393703771</v>
      </c>
      <c r="I67" s="17"/>
      <c r="J67" s="17"/>
      <c r="K67" s="17"/>
    </row>
    <row r="68" spans="1:11" ht="27">
      <c r="A68" s="48" t="s">
        <v>114</v>
      </c>
      <c r="B68" s="71" t="s">
        <v>224</v>
      </c>
      <c r="C68" s="162">
        <v>27</v>
      </c>
      <c r="D68" s="162">
        <v>27</v>
      </c>
      <c r="E68" s="162">
        <v>5139</v>
      </c>
      <c r="F68" s="164">
        <f>5139/5007*100-100</f>
        <v>2.636309167165976</v>
      </c>
      <c r="G68" s="165">
        <v>225810</v>
      </c>
      <c r="H68" s="166">
        <f>225810/293749*100-100</f>
        <v>-23.12824894723046</v>
      </c>
      <c r="I68" s="17"/>
      <c r="J68" s="17"/>
      <c r="K68" s="17"/>
    </row>
    <row r="69" spans="1:11" ht="9.75" customHeight="1">
      <c r="A69" s="62"/>
      <c r="B69" s="67"/>
      <c r="C69" s="73"/>
      <c r="D69" s="73"/>
      <c r="E69" s="75"/>
      <c r="F69" s="76"/>
      <c r="G69" s="74"/>
      <c r="H69" s="77"/>
      <c r="I69" s="17"/>
      <c r="J69" s="17"/>
      <c r="K69" s="17"/>
    </row>
    <row r="70" spans="1:11" ht="13.5">
      <c r="A70" s="60" t="s">
        <v>115</v>
      </c>
      <c r="B70" s="70" t="s">
        <v>183</v>
      </c>
      <c r="C70" s="157">
        <v>444</v>
      </c>
      <c r="D70" s="157">
        <v>433</v>
      </c>
      <c r="E70" s="157">
        <v>85986</v>
      </c>
      <c r="F70" s="158">
        <f>85986/85622*100-100</f>
        <v>0.42512438392002139</v>
      </c>
      <c r="G70" s="159">
        <v>5295783</v>
      </c>
      <c r="H70" s="161">
        <f>5295783/5219781*100-100</f>
        <v>1.4560380981500884</v>
      </c>
      <c r="I70" s="17"/>
      <c r="J70" s="17"/>
      <c r="K70" s="17"/>
    </row>
    <row r="71" spans="1:11" ht="20.25" customHeight="1">
      <c r="A71" s="60" t="s">
        <v>116</v>
      </c>
      <c r="B71" s="66" t="s">
        <v>202</v>
      </c>
      <c r="C71" s="157">
        <v>130</v>
      </c>
      <c r="D71" s="157">
        <v>119</v>
      </c>
      <c r="E71" s="157">
        <v>16617</v>
      </c>
      <c r="F71" s="158">
        <f>16617/16436*100-100</f>
        <v>1.1012411779021534</v>
      </c>
      <c r="G71" s="159">
        <v>997491</v>
      </c>
      <c r="H71" s="161">
        <f>997491/962915*100-100</f>
        <v>3.5907634630263345</v>
      </c>
      <c r="I71" s="17"/>
      <c r="J71" s="17"/>
      <c r="K71" s="17"/>
    </row>
    <row r="72" spans="1:11" ht="15.6" customHeight="1">
      <c r="A72" s="60" t="s">
        <v>56</v>
      </c>
      <c r="B72" s="66" t="s">
        <v>203</v>
      </c>
      <c r="C72" s="157">
        <v>185</v>
      </c>
      <c r="D72" s="157">
        <v>183</v>
      </c>
      <c r="E72" s="157">
        <v>51848</v>
      </c>
      <c r="F72" s="158">
        <f>51848/51400*100-100</f>
        <v>0.87159533073931073</v>
      </c>
      <c r="G72" s="159">
        <v>3242238</v>
      </c>
      <c r="H72" s="161">
        <f>3242238/3206529*100-100</f>
        <v>1.1136340884489186</v>
      </c>
      <c r="I72" s="17"/>
      <c r="J72" s="17"/>
      <c r="K72" s="17"/>
    </row>
    <row r="73" spans="1:11" ht="15.6" customHeight="1">
      <c r="A73" s="60" t="s">
        <v>117</v>
      </c>
      <c r="B73" s="66" t="s">
        <v>204</v>
      </c>
      <c r="C73" s="157">
        <v>9</v>
      </c>
      <c r="D73" s="157">
        <v>9</v>
      </c>
      <c r="E73" s="157">
        <v>1047</v>
      </c>
      <c r="F73" s="158">
        <f>1047/1027*100-100</f>
        <v>1.9474196689386503</v>
      </c>
      <c r="G73" s="159">
        <v>55180</v>
      </c>
      <c r="H73" s="161">
        <f>55180/50814*100-100</f>
        <v>8.5921202818121145</v>
      </c>
    </row>
    <row r="74" spans="1:11" ht="15.6" customHeight="1">
      <c r="A74" s="60" t="s">
        <v>118</v>
      </c>
      <c r="B74" s="66" t="s">
        <v>205</v>
      </c>
      <c r="C74" s="157">
        <v>108</v>
      </c>
      <c r="D74" s="157">
        <v>110</v>
      </c>
      <c r="E74" s="157">
        <v>12035</v>
      </c>
      <c r="F74" s="158">
        <f>12035/12164*100-100</f>
        <v>-1.0605064123643615</v>
      </c>
      <c r="G74" s="159">
        <v>595073</v>
      </c>
      <c r="H74" s="161">
        <f>595073/584768*100-100</f>
        <v>1.7622373317281301</v>
      </c>
    </row>
    <row r="75" spans="1:11" ht="15.6" customHeight="1">
      <c r="A75" s="69" t="s">
        <v>119</v>
      </c>
      <c r="B75" s="72" t="s">
        <v>182</v>
      </c>
      <c r="C75" s="172">
        <v>12</v>
      </c>
      <c r="D75" s="172">
        <v>12</v>
      </c>
      <c r="E75" s="172">
        <v>4439</v>
      </c>
      <c r="F75" s="173">
        <f>4439/4595*100-100</f>
        <v>-3.3949945593035835</v>
      </c>
      <c r="G75" s="174">
        <v>405800</v>
      </c>
      <c r="H75" s="175">
        <f>405800/414754*100-100</f>
        <v>-2.1588700772023941</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175" priority="45">
      <formula>"""=Rest(ZEILE();2)=1"""</formula>
    </cfRule>
    <cfRule type="expression" dxfId="174" priority="46">
      <formula>"""=Rest(Zeile();2)=1"""</formula>
    </cfRule>
  </conditionalFormatting>
  <conditionalFormatting sqref="A7:H7 A8:C75 E8:H28 E29:G31 E32:H75">
    <cfRule type="expression" dxfId="173" priority="7">
      <formula>MOD(ROW(),2)=0</formula>
    </cfRule>
  </conditionalFormatting>
  <conditionalFormatting sqref="H30">
    <cfRule type="expression" dxfId="172" priority="3">
      <formula>MOD(ROW(),2)=0</formula>
    </cfRule>
  </conditionalFormatting>
  <conditionalFormatting sqref="D8:D75">
    <cfRule type="expression" dxfId="171"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4"/>
  <sheetViews>
    <sheetView view="pageLayout" zoomScaleNormal="100" workbookViewId="0">
      <selection sqref="A1:I1"/>
    </sheetView>
  </sheetViews>
  <sheetFormatPr baseColWidth="10" defaultColWidth="11.42578125" defaultRowHeight="13.5"/>
  <cols>
    <col min="1" max="1" width="4.5703125" style="79" customWidth="1"/>
    <col min="2" max="2" width="30.28515625" style="79" customWidth="1"/>
    <col min="3" max="3" width="8.140625" style="80" customWidth="1"/>
    <col min="4" max="4" width="8.140625" style="107" customWidth="1"/>
    <col min="5" max="5" width="8.140625" style="54" customWidth="1"/>
    <col min="6" max="7" width="8.140625" style="110" customWidth="1"/>
    <col min="8" max="9" width="8.140625" style="54" customWidth="1"/>
    <col min="10" max="10" width="11.42578125" style="17"/>
    <col min="11" max="24" width="1.7109375" style="17" customWidth="1"/>
    <col min="25" max="16384" width="11.42578125" style="17"/>
  </cols>
  <sheetData>
    <row r="1" spans="1:13" ht="28.35" customHeight="1">
      <c r="A1" s="237" t="s">
        <v>318</v>
      </c>
      <c r="B1" s="238"/>
      <c r="C1" s="238"/>
      <c r="D1" s="238"/>
      <c r="E1" s="238"/>
      <c r="F1" s="238"/>
      <c r="G1" s="238"/>
      <c r="H1" s="238"/>
      <c r="I1" s="238"/>
    </row>
    <row r="2" spans="1:13" ht="6.75" customHeight="1">
      <c r="A2" s="78"/>
      <c r="B2" s="78"/>
      <c r="C2" s="78"/>
      <c r="D2" s="106"/>
      <c r="E2" s="78"/>
      <c r="F2" s="108"/>
      <c r="G2" s="108"/>
      <c r="H2" s="78"/>
      <c r="I2" s="78"/>
    </row>
    <row r="3" spans="1:13" ht="13.7" customHeight="1">
      <c r="A3" s="243" t="s">
        <v>3</v>
      </c>
      <c r="B3" s="244" t="s">
        <v>0</v>
      </c>
      <c r="C3" s="241" t="s">
        <v>53</v>
      </c>
      <c r="D3" s="241"/>
      <c r="E3" s="241"/>
      <c r="F3" s="241"/>
      <c r="G3" s="241"/>
      <c r="H3" s="241" t="s">
        <v>197</v>
      </c>
      <c r="I3" s="242"/>
    </row>
    <row r="4" spans="1:13" ht="36.950000000000003" customHeight="1">
      <c r="A4" s="243"/>
      <c r="B4" s="244"/>
      <c r="C4" s="241" t="s">
        <v>54</v>
      </c>
      <c r="D4" s="241"/>
      <c r="E4" s="241" t="s">
        <v>55</v>
      </c>
      <c r="F4" s="241"/>
      <c r="G4" s="241"/>
      <c r="H4" s="81" t="s">
        <v>54</v>
      </c>
      <c r="I4" s="82" t="s">
        <v>230</v>
      </c>
    </row>
    <row r="5" spans="1:13" ht="53.25" customHeight="1">
      <c r="A5" s="243"/>
      <c r="B5" s="244"/>
      <c r="C5" s="83" t="s">
        <v>310</v>
      </c>
      <c r="D5" s="105" t="s">
        <v>287</v>
      </c>
      <c r="E5" s="239" t="s">
        <v>310</v>
      </c>
      <c r="F5" s="239"/>
      <c r="G5" s="105" t="s">
        <v>287</v>
      </c>
      <c r="H5" s="239" t="s">
        <v>310</v>
      </c>
      <c r="I5" s="240"/>
    </row>
    <row r="6" spans="1:13" s="18" customFormat="1" ht="38.25" customHeight="1">
      <c r="A6" s="243"/>
      <c r="B6" s="244"/>
      <c r="C6" s="81" t="s">
        <v>2</v>
      </c>
      <c r="D6" s="104" t="s">
        <v>123</v>
      </c>
      <c r="E6" s="81" t="s">
        <v>2</v>
      </c>
      <c r="F6" s="105" t="s">
        <v>229</v>
      </c>
      <c r="G6" s="104" t="s">
        <v>123</v>
      </c>
      <c r="H6" s="241" t="s">
        <v>2</v>
      </c>
      <c r="I6" s="242"/>
    </row>
    <row r="7" spans="1:13" s="18" customFormat="1" ht="12.75" customHeight="1">
      <c r="A7" s="50"/>
      <c r="B7" s="116"/>
      <c r="C7" s="50"/>
      <c r="D7" s="103"/>
      <c r="E7" s="50"/>
      <c r="F7" s="109"/>
      <c r="G7" s="109"/>
      <c r="H7" s="50"/>
      <c r="I7" s="50"/>
    </row>
    <row r="8" spans="1:13" s="19" customFormat="1" ht="12.75" customHeight="1">
      <c r="A8" s="58" t="s">
        <v>56</v>
      </c>
      <c r="B8" s="59" t="s">
        <v>184</v>
      </c>
      <c r="C8" s="192" t="s">
        <v>290</v>
      </c>
      <c r="D8" s="169" t="s">
        <v>290</v>
      </c>
      <c r="E8" s="192" t="s">
        <v>290</v>
      </c>
      <c r="F8" s="169" t="s">
        <v>290</v>
      </c>
      <c r="G8" s="169" t="s">
        <v>290</v>
      </c>
      <c r="H8" s="192" t="s">
        <v>290</v>
      </c>
      <c r="I8" s="192" t="s">
        <v>290</v>
      </c>
    </row>
    <row r="9" spans="1:13" s="19" customFormat="1" ht="12.75" customHeight="1">
      <c r="A9" s="58" t="s">
        <v>57</v>
      </c>
      <c r="B9" s="59" t="s">
        <v>185</v>
      </c>
      <c r="C9" s="192" t="s">
        <v>290</v>
      </c>
      <c r="D9" s="169" t="s">
        <v>290</v>
      </c>
      <c r="E9" s="192" t="s">
        <v>290</v>
      </c>
      <c r="F9" s="169" t="s">
        <v>290</v>
      </c>
      <c r="G9" s="169" t="s">
        <v>290</v>
      </c>
      <c r="H9" s="192" t="s">
        <v>290</v>
      </c>
      <c r="I9" s="192" t="s">
        <v>290</v>
      </c>
    </row>
    <row r="10" spans="1:13" s="19" customFormat="1" ht="12.75" customHeight="1">
      <c r="A10" s="58" t="s">
        <v>58</v>
      </c>
      <c r="B10" s="59" t="s">
        <v>186</v>
      </c>
      <c r="C10" s="192" t="s">
        <v>290</v>
      </c>
      <c r="D10" s="169" t="s">
        <v>290</v>
      </c>
      <c r="E10" s="192" t="s">
        <v>290</v>
      </c>
      <c r="F10" s="169" t="s">
        <v>290</v>
      </c>
      <c r="G10" s="169" t="s">
        <v>290</v>
      </c>
      <c r="H10" s="192" t="s">
        <v>290</v>
      </c>
      <c r="I10" s="192" t="s">
        <v>290</v>
      </c>
    </row>
    <row r="11" spans="1:13" s="19" customFormat="1" ht="12.75" customHeight="1">
      <c r="A11" s="58" t="s">
        <v>59</v>
      </c>
      <c r="B11" s="59" t="s">
        <v>187</v>
      </c>
      <c r="C11" s="192" t="s">
        <v>4</v>
      </c>
      <c r="D11" s="169" t="s">
        <v>290</v>
      </c>
      <c r="E11" s="192" t="s">
        <v>4</v>
      </c>
      <c r="F11" s="169" t="s">
        <v>290</v>
      </c>
      <c r="G11" s="169" t="s">
        <v>290</v>
      </c>
      <c r="H11" s="192" t="s">
        <v>4</v>
      </c>
      <c r="I11" s="192" t="s">
        <v>4</v>
      </c>
    </row>
    <row r="12" spans="1:13" s="20" customFormat="1" ht="12.75" customHeight="1">
      <c r="A12" s="51" t="s">
        <v>60</v>
      </c>
      <c r="B12" s="61" t="s">
        <v>156</v>
      </c>
      <c r="C12" s="178">
        <v>2592870</v>
      </c>
      <c r="D12" s="161">
        <f>2592870/2551118*100-100</f>
        <v>1.6366157896263474</v>
      </c>
      <c r="E12" s="178">
        <v>935157</v>
      </c>
      <c r="F12" s="161">
        <f>E12*100/C12</f>
        <v>36.066482314963729</v>
      </c>
      <c r="G12" s="161">
        <f>935157/912042*100-100</f>
        <v>2.5344227568467232</v>
      </c>
      <c r="H12" s="179">
        <v>2080782</v>
      </c>
      <c r="I12" s="179">
        <v>774720</v>
      </c>
    </row>
    <row r="13" spans="1:13" s="21" customFormat="1" ht="13.35" customHeight="1">
      <c r="A13" s="62" t="s">
        <v>61</v>
      </c>
      <c r="B13" s="63" t="s">
        <v>157</v>
      </c>
      <c r="C13" s="180">
        <v>282755</v>
      </c>
      <c r="D13" s="166">
        <f>282775/194120*100-100</f>
        <v>45.670203997527295</v>
      </c>
      <c r="E13" s="192" t="s">
        <v>290</v>
      </c>
      <c r="F13" s="169" t="s">
        <v>290</v>
      </c>
      <c r="G13" s="169" t="s">
        <v>290</v>
      </c>
      <c r="H13" s="192">
        <v>186761</v>
      </c>
      <c r="I13" s="192" t="s">
        <v>290</v>
      </c>
    </row>
    <row r="14" spans="1:13" s="21" customFormat="1" ht="13.35" customHeight="1">
      <c r="A14" s="62" t="s">
        <v>62</v>
      </c>
      <c r="B14" s="64" t="s">
        <v>158</v>
      </c>
      <c r="C14" s="180">
        <v>472611</v>
      </c>
      <c r="D14" s="166">
        <f>472611/467398*100-100</f>
        <v>1.1153235572253237</v>
      </c>
      <c r="E14" s="180">
        <v>347108</v>
      </c>
      <c r="F14" s="166">
        <f>E14*100/C14</f>
        <v>73.444756893089661</v>
      </c>
      <c r="G14" s="166">
        <f>347108/331808*100-100</f>
        <v>4.6111003954093945</v>
      </c>
      <c r="H14" s="181">
        <v>408216</v>
      </c>
      <c r="I14" s="181">
        <v>307462</v>
      </c>
      <c r="J14" s="20"/>
      <c r="K14" s="20"/>
      <c r="L14" s="20"/>
      <c r="M14" s="20"/>
    </row>
    <row r="15" spans="1:13" s="21" customFormat="1" ht="24.2" customHeight="1">
      <c r="A15" s="48" t="s">
        <v>63</v>
      </c>
      <c r="B15" s="64" t="s">
        <v>231</v>
      </c>
      <c r="C15" s="180">
        <v>343978</v>
      </c>
      <c r="D15" s="166">
        <f>343978/328359*100-100</f>
        <v>4.7566839952612838</v>
      </c>
      <c r="E15" s="192" t="s">
        <v>290</v>
      </c>
      <c r="F15" s="169" t="s">
        <v>290</v>
      </c>
      <c r="G15" s="169" t="s">
        <v>290</v>
      </c>
      <c r="H15" s="181">
        <v>245045</v>
      </c>
      <c r="I15" s="192" t="s">
        <v>290</v>
      </c>
      <c r="J15" s="20"/>
      <c r="K15" s="20"/>
      <c r="L15" s="20"/>
      <c r="M15" s="20"/>
    </row>
    <row r="16" spans="1:13" s="21" customFormat="1" ht="13.35" customHeight="1">
      <c r="A16" s="65" t="s">
        <v>64</v>
      </c>
      <c r="B16" s="64" t="s">
        <v>159</v>
      </c>
      <c r="C16" s="180">
        <v>126868</v>
      </c>
      <c r="D16" s="166">
        <f>126868/129156*100-100</f>
        <v>-1.7715011304159276</v>
      </c>
      <c r="E16" s="192" t="s">
        <v>290</v>
      </c>
      <c r="F16" s="169" t="s">
        <v>290</v>
      </c>
      <c r="G16" s="169" t="s">
        <v>290</v>
      </c>
      <c r="H16" s="192">
        <v>119245</v>
      </c>
      <c r="I16" s="192" t="s">
        <v>290</v>
      </c>
    </row>
    <row r="17" spans="1:9" s="21" customFormat="1" ht="13.35" customHeight="1">
      <c r="A17" s="65" t="s">
        <v>65</v>
      </c>
      <c r="B17" s="64" t="s">
        <v>160</v>
      </c>
      <c r="C17" s="192" t="s">
        <v>4</v>
      </c>
      <c r="D17" s="169" t="s">
        <v>4</v>
      </c>
      <c r="E17" s="192" t="s">
        <v>290</v>
      </c>
      <c r="F17" s="169" t="s">
        <v>290</v>
      </c>
      <c r="G17" s="169" t="s">
        <v>290</v>
      </c>
      <c r="H17" s="192">
        <v>116004</v>
      </c>
      <c r="I17" s="192" t="s">
        <v>290</v>
      </c>
    </row>
    <row r="18" spans="1:9" s="21" customFormat="1" ht="13.35" customHeight="1">
      <c r="A18" s="62" t="s">
        <v>66</v>
      </c>
      <c r="B18" s="64" t="s">
        <v>161</v>
      </c>
      <c r="C18" s="180">
        <v>836413</v>
      </c>
      <c r="D18" s="166">
        <f>836413/911177*100-100</f>
        <v>-8.2052115011682787</v>
      </c>
      <c r="E18" s="180">
        <v>290957</v>
      </c>
      <c r="F18" s="166">
        <f>E18*100/C18</f>
        <v>34.786283809553417</v>
      </c>
      <c r="G18" s="166">
        <f>290957/328415*100-100</f>
        <v>-11.405690970266278</v>
      </c>
      <c r="H18" s="181">
        <v>761607</v>
      </c>
      <c r="I18" s="181">
        <v>277152</v>
      </c>
    </row>
    <row r="19" spans="1:9" s="21" customFormat="1" ht="12.75" customHeight="1">
      <c r="A19" s="60" t="s">
        <v>67</v>
      </c>
      <c r="B19" s="66" t="s">
        <v>162</v>
      </c>
      <c r="C19" s="178">
        <v>87039</v>
      </c>
      <c r="D19" s="161">
        <f>87039/66629*100-100</f>
        <v>30.632307253598299</v>
      </c>
      <c r="E19" s="192" t="s">
        <v>290</v>
      </c>
      <c r="F19" s="169" t="s">
        <v>290</v>
      </c>
      <c r="G19" s="169" t="s">
        <v>290</v>
      </c>
      <c r="H19" s="192">
        <v>85643</v>
      </c>
      <c r="I19" s="192" t="s">
        <v>290</v>
      </c>
    </row>
    <row r="20" spans="1:9" s="20" customFormat="1" ht="12.75" customHeight="1">
      <c r="A20" s="60" t="s">
        <v>68</v>
      </c>
      <c r="B20" s="66" t="s">
        <v>120</v>
      </c>
      <c r="C20" s="192" t="s">
        <v>290</v>
      </c>
      <c r="D20" s="169" t="s">
        <v>290</v>
      </c>
      <c r="E20" s="192">
        <v>0</v>
      </c>
      <c r="F20" s="169" t="s">
        <v>290</v>
      </c>
      <c r="G20" s="169" t="s">
        <v>290</v>
      </c>
      <c r="H20" s="192">
        <v>0</v>
      </c>
      <c r="I20" s="192">
        <v>0</v>
      </c>
    </row>
    <row r="21" spans="1:9" s="20" customFormat="1" ht="12.75" customHeight="1">
      <c r="A21" s="60" t="s">
        <v>198</v>
      </c>
      <c r="B21" s="66" t="s">
        <v>199</v>
      </c>
      <c r="C21" s="192" t="s">
        <v>290</v>
      </c>
      <c r="D21" s="169" t="s">
        <v>290</v>
      </c>
      <c r="E21" s="192" t="s">
        <v>290</v>
      </c>
      <c r="F21" s="169" t="s">
        <v>290</v>
      </c>
      <c r="G21" s="169" t="s">
        <v>290</v>
      </c>
      <c r="H21" s="192" t="s">
        <v>290</v>
      </c>
      <c r="I21" s="192" t="s">
        <v>290</v>
      </c>
    </row>
    <row r="22" spans="1:9" s="20" customFormat="1" ht="12.75" customHeight="1">
      <c r="A22" s="60" t="s">
        <v>200</v>
      </c>
      <c r="B22" s="66" t="s">
        <v>201</v>
      </c>
      <c r="C22" s="192" t="s">
        <v>290</v>
      </c>
      <c r="D22" s="169" t="s">
        <v>290</v>
      </c>
      <c r="E22" s="192" t="s">
        <v>290</v>
      </c>
      <c r="F22" s="169" t="s">
        <v>290</v>
      </c>
      <c r="G22" s="169" t="s">
        <v>290</v>
      </c>
      <c r="H22" s="192" t="s">
        <v>290</v>
      </c>
      <c r="I22" s="192" t="s">
        <v>290</v>
      </c>
    </row>
    <row r="23" spans="1:9" s="20" customFormat="1" ht="24.2" customHeight="1">
      <c r="A23" s="51" t="s">
        <v>69</v>
      </c>
      <c r="B23" s="66" t="s">
        <v>232</v>
      </c>
      <c r="C23" s="178">
        <v>39943</v>
      </c>
      <c r="D23" s="161">
        <f>39943/39421*100-100</f>
        <v>1.3241673219857546</v>
      </c>
      <c r="E23" s="192" t="s">
        <v>290</v>
      </c>
      <c r="F23" s="169" t="s">
        <v>290</v>
      </c>
      <c r="G23" s="169" t="s">
        <v>290</v>
      </c>
      <c r="H23" s="179">
        <v>31109</v>
      </c>
      <c r="I23" s="192" t="s">
        <v>290</v>
      </c>
    </row>
    <row r="24" spans="1:9" s="20" customFormat="1" ht="12.75" customHeight="1">
      <c r="A24" s="60" t="s">
        <v>70</v>
      </c>
      <c r="B24" s="66" t="s">
        <v>164</v>
      </c>
      <c r="C24" s="192" t="s">
        <v>290</v>
      </c>
      <c r="D24" s="169" t="s">
        <v>290</v>
      </c>
      <c r="E24" s="192">
        <v>0</v>
      </c>
      <c r="F24" s="169" t="s">
        <v>290</v>
      </c>
      <c r="G24" s="169" t="s">
        <v>290</v>
      </c>
      <c r="H24" s="192" t="s">
        <v>290</v>
      </c>
      <c r="I24" s="192">
        <v>0</v>
      </c>
    </row>
    <row r="25" spans="1:9" s="21" customFormat="1" ht="24" customHeight="1">
      <c r="A25" s="51" t="s">
        <v>71</v>
      </c>
      <c r="B25" s="61" t="s">
        <v>254</v>
      </c>
      <c r="C25" s="178">
        <v>139907</v>
      </c>
      <c r="D25" s="161">
        <f>139907/147738*100-100</f>
        <v>-5.3005997102979592</v>
      </c>
      <c r="E25" s="178">
        <v>5479</v>
      </c>
      <c r="F25" s="161">
        <f t="shared" ref="F25:F37" si="0">E25*100/C25</f>
        <v>3.9161728862744538</v>
      </c>
      <c r="G25" s="161">
        <f>5479/6022*100-100</f>
        <v>-9.0169378943872402</v>
      </c>
      <c r="H25" s="179">
        <v>137983</v>
      </c>
      <c r="I25" s="179">
        <v>5314</v>
      </c>
    </row>
    <row r="26" spans="1:9" s="22" customFormat="1" ht="12.75" customHeight="1">
      <c r="A26" s="62" t="s">
        <v>72</v>
      </c>
      <c r="B26" s="64" t="s">
        <v>188</v>
      </c>
      <c r="C26" s="180">
        <v>65380</v>
      </c>
      <c r="D26" s="166">
        <f>65380/71398*100-100</f>
        <v>-8.4288075296226879</v>
      </c>
      <c r="E26" s="180">
        <v>4437</v>
      </c>
      <c r="F26" s="166">
        <f t="shared" si="0"/>
        <v>6.7864790455796884</v>
      </c>
      <c r="G26" s="166">
        <f>4437/4860*100-100</f>
        <v>-8.7037037037036953</v>
      </c>
      <c r="H26" s="181">
        <v>64932</v>
      </c>
      <c r="I26" s="181">
        <v>4437</v>
      </c>
    </row>
    <row r="27" spans="1:9" s="21" customFormat="1" ht="12.75" customHeight="1">
      <c r="A27" s="60" t="s">
        <v>73</v>
      </c>
      <c r="B27" s="61" t="s">
        <v>165</v>
      </c>
      <c r="C27" s="178">
        <v>30530480</v>
      </c>
      <c r="D27" s="161">
        <f>30530480/33220476*100-100</f>
        <v>-8.0974035411172309</v>
      </c>
      <c r="E27" s="178">
        <v>2632016</v>
      </c>
      <c r="F27" s="161">
        <f t="shared" si="0"/>
        <v>8.6209453634531794</v>
      </c>
      <c r="G27" s="161">
        <f>2632016/2919139*100-100</f>
        <v>-9.8358796891823204</v>
      </c>
      <c r="H27" s="179">
        <v>3466693</v>
      </c>
      <c r="I27" s="179">
        <v>916717</v>
      </c>
    </row>
    <row r="28" spans="1:9" s="21" customFormat="1" ht="12.75" customHeight="1">
      <c r="A28" s="60" t="s">
        <v>74</v>
      </c>
      <c r="B28" s="61" t="s">
        <v>166</v>
      </c>
      <c r="C28" s="178">
        <v>1693392</v>
      </c>
      <c r="D28" s="161">
        <f>1693392/1596880*100-100</f>
        <v>6.0437853814939047</v>
      </c>
      <c r="E28" s="178">
        <v>585495</v>
      </c>
      <c r="F28" s="161">
        <f t="shared" si="0"/>
        <v>34.575278494288384</v>
      </c>
      <c r="G28" s="161">
        <f>585495/572749*100-100</f>
        <v>2.2254076392974866</v>
      </c>
      <c r="H28" s="179">
        <v>1550148</v>
      </c>
      <c r="I28" s="179">
        <v>557588</v>
      </c>
    </row>
    <row r="29" spans="1:9" s="21" customFormat="1" ht="51" customHeight="1">
      <c r="A29" s="48" t="s">
        <v>75</v>
      </c>
      <c r="B29" s="64" t="s">
        <v>233</v>
      </c>
      <c r="C29" s="180">
        <v>610967</v>
      </c>
      <c r="D29" s="166">
        <f>610967/556152*100-100</f>
        <v>9.8561184712093137</v>
      </c>
      <c r="E29" s="180">
        <v>229813</v>
      </c>
      <c r="F29" s="166">
        <f t="shared" si="0"/>
        <v>37.614633850928122</v>
      </c>
      <c r="G29" s="166">
        <f>229813/241921*100-100</f>
        <v>-5.0049396290524584</v>
      </c>
      <c r="H29" s="181">
        <v>508155</v>
      </c>
      <c r="I29" s="181">
        <v>224514</v>
      </c>
    </row>
    <row r="30" spans="1:9" s="20" customFormat="1" ht="13.35" customHeight="1">
      <c r="A30" s="62" t="s">
        <v>76</v>
      </c>
      <c r="B30" s="64" t="s">
        <v>167</v>
      </c>
      <c r="C30" s="180">
        <v>479310</v>
      </c>
      <c r="D30" s="166">
        <f>479310/447256*100-100</f>
        <v>7.1668127425903663</v>
      </c>
      <c r="E30" s="180">
        <v>290783</v>
      </c>
      <c r="F30" s="166">
        <f t="shared" si="0"/>
        <v>60.667000479856462</v>
      </c>
      <c r="G30" s="166">
        <f>290783/273834*100-100</f>
        <v>6.1895162762841665</v>
      </c>
      <c r="H30" s="181">
        <v>451778</v>
      </c>
      <c r="I30" s="181">
        <v>271530</v>
      </c>
    </row>
    <row r="31" spans="1:9" s="20" customFormat="1" ht="13.35" customHeight="1">
      <c r="A31" s="62" t="s">
        <v>77</v>
      </c>
      <c r="B31" s="64" t="s">
        <v>208</v>
      </c>
      <c r="C31" s="180">
        <v>222631</v>
      </c>
      <c r="D31" s="166">
        <f>222631/214250*100-100</f>
        <v>3.911785297549585</v>
      </c>
      <c r="E31" s="180">
        <v>157608</v>
      </c>
      <c r="F31" s="166">
        <f t="shared" si="0"/>
        <v>70.793375585610264</v>
      </c>
      <c r="G31" s="166">
        <f>157608/151773*100-100</f>
        <v>3.8445573323318456</v>
      </c>
      <c r="H31" s="181">
        <v>202870</v>
      </c>
      <c r="I31" s="181">
        <v>143021</v>
      </c>
    </row>
    <row r="32" spans="1:9" s="20" customFormat="1" ht="12.75" customHeight="1">
      <c r="A32" s="60" t="s">
        <v>78</v>
      </c>
      <c r="B32" s="61" t="s">
        <v>168</v>
      </c>
      <c r="C32" s="178">
        <v>427013</v>
      </c>
      <c r="D32" s="161">
        <f>427013/369591*100-100</f>
        <v>15.536633738375656</v>
      </c>
      <c r="E32" s="178">
        <v>60292</v>
      </c>
      <c r="F32" s="161">
        <f t="shared" si="0"/>
        <v>14.119476456220303</v>
      </c>
      <c r="G32" s="161">
        <f>60292/54137*100-100</f>
        <v>11.369303803313827</v>
      </c>
      <c r="H32" s="179">
        <v>408036</v>
      </c>
      <c r="I32" s="179">
        <v>47413</v>
      </c>
    </row>
    <row r="33" spans="1:9" s="21" customFormat="1" ht="12.75" customHeight="1">
      <c r="A33" s="60" t="s">
        <v>79</v>
      </c>
      <c r="B33" s="61" t="s">
        <v>169</v>
      </c>
      <c r="C33" s="178">
        <v>806621</v>
      </c>
      <c r="D33" s="161">
        <f>806621/789284*100-100</f>
        <v>2.1965477572077958</v>
      </c>
      <c r="E33" s="178">
        <v>218247</v>
      </c>
      <c r="F33" s="161">
        <f t="shared" si="0"/>
        <v>27.056944959280752</v>
      </c>
      <c r="G33" s="161">
        <f>218247/218030*100-100</f>
        <v>9.9527587946596441E-2</v>
      </c>
      <c r="H33" s="179">
        <v>737722</v>
      </c>
      <c r="I33" s="179">
        <v>182951</v>
      </c>
    </row>
    <row r="34" spans="1:9" s="21" customFormat="1" ht="13.35" customHeight="1">
      <c r="A34" s="62" t="s">
        <v>80</v>
      </c>
      <c r="B34" s="64" t="s">
        <v>170</v>
      </c>
      <c r="C34" s="180">
        <v>474299</v>
      </c>
      <c r="D34" s="166">
        <f>474299/404061*100-100</f>
        <v>17.383018900611532</v>
      </c>
      <c r="E34" s="180">
        <v>143952</v>
      </c>
      <c r="F34" s="166">
        <f t="shared" si="0"/>
        <v>30.350475122233021</v>
      </c>
      <c r="G34" s="166">
        <f>143952/140952*100-100</f>
        <v>2.1283841307679268</v>
      </c>
      <c r="H34" s="181">
        <v>415412</v>
      </c>
      <c r="I34" s="181">
        <v>112222</v>
      </c>
    </row>
    <row r="35" spans="1:9" s="21" customFormat="1" ht="13.35" customHeight="1">
      <c r="A35" s="62" t="s">
        <v>81</v>
      </c>
      <c r="B35" s="64" t="s">
        <v>171</v>
      </c>
      <c r="C35" s="180">
        <v>474299</v>
      </c>
      <c r="D35" s="166">
        <f>474299/404061*100-100</f>
        <v>17.383018900611532</v>
      </c>
      <c r="E35" s="180">
        <v>143952</v>
      </c>
      <c r="F35" s="166">
        <f t="shared" si="0"/>
        <v>30.350475122233021</v>
      </c>
      <c r="G35" s="166">
        <f>143952/140952*100-100</f>
        <v>2.1283841307679268</v>
      </c>
      <c r="H35" s="181">
        <v>415412</v>
      </c>
      <c r="I35" s="181">
        <v>112222</v>
      </c>
    </row>
    <row r="36" spans="1:9" s="20" customFormat="1" ht="13.35" customHeight="1">
      <c r="A36" s="62" t="s">
        <v>82</v>
      </c>
      <c r="B36" s="64" t="s">
        <v>172</v>
      </c>
      <c r="C36" s="180">
        <v>332322</v>
      </c>
      <c r="D36" s="166">
        <f>332322/385223*100-100</f>
        <v>-13.732565293349566</v>
      </c>
      <c r="E36" s="180">
        <v>74296</v>
      </c>
      <c r="F36" s="166">
        <f t="shared" si="0"/>
        <v>22.356630015466926</v>
      </c>
      <c r="G36" s="166">
        <f>74296/77078*100-100</f>
        <v>-3.6093308077531816</v>
      </c>
      <c r="H36" s="181">
        <v>322310</v>
      </c>
      <c r="I36" s="181">
        <v>70729</v>
      </c>
    </row>
    <row r="37" spans="1:9" s="22" customFormat="1" ht="13.35" customHeight="1">
      <c r="A37" s="62" t="s">
        <v>83</v>
      </c>
      <c r="B37" s="64" t="s">
        <v>189</v>
      </c>
      <c r="C37" s="180">
        <v>237299</v>
      </c>
      <c r="D37" s="166">
        <f>237299/302538*100-100</f>
        <v>-21.563902716352985</v>
      </c>
      <c r="E37" s="180">
        <v>39499</v>
      </c>
      <c r="F37" s="166">
        <f t="shared" si="0"/>
        <v>16.645245028424057</v>
      </c>
      <c r="G37" s="166">
        <f>39499/43528*100-100</f>
        <v>-9.2561110090056928</v>
      </c>
      <c r="H37" s="181">
        <v>236219</v>
      </c>
      <c r="I37" s="181">
        <v>39134</v>
      </c>
    </row>
    <row r="38" spans="1:9" s="21" customFormat="1" ht="24" customHeight="1">
      <c r="A38" s="51" t="s">
        <v>84</v>
      </c>
      <c r="B38" s="66" t="s">
        <v>234</v>
      </c>
      <c r="C38" s="178">
        <v>253315</v>
      </c>
      <c r="D38" s="161">
        <f>253315/198927*100-100</f>
        <v>27.340682763023622</v>
      </c>
      <c r="E38" s="192" t="s">
        <v>290</v>
      </c>
      <c r="F38" s="169" t="s">
        <v>290</v>
      </c>
      <c r="G38" s="169" t="s">
        <v>290</v>
      </c>
      <c r="H38" s="192">
        <v>106697</v>
      </c>
      <c r="I38" s="192" t="s">
        <v>4</v>
      </c>
    </row>
    <row r="39" spans="1:9" s="22" customFormat="1" ht="12.75" customHeight="1">
      <c r="A39" s="62" t="s">
        <v>85</v>
      </c>
      <c r="B39" s="67" t="s">
        <v>190</v>
      </c>
      <c r="C39" s="180">
        <v>74652</v>
      </c>
      <c r="D39" s="166">
        <f>74652/54845*100-100</f>
        <v>36.114504512717645</v>
      </c>
      <c r="E39" s="192" t="s">
        <v>5</v>
      </c>
      <c r="F39" s="169" t="s">
        <v>290</v>
      </c>
      <c r="G39" s="169" t="s">
        <v>290</v>
      </c>
      <c r="H39" s="181">
        <v>65218</v>
      </c>
      <c r="I39" s="192" t="s">
        <v>5</v>
      </c>
    </row>
    <row r="40" spans="1:9" s="21" customFormat="1" ht="12.75" customHeight="1">
      <c r="A40" s="60" t="s">
        <v>86</v>
      </c>
      <c r="B40" s="61" t="s">
        <v>173</v>
      </c>
      <c r="C40" s="178">
        <v>6299020</v>
      </c>
      <c r="D40" s="161">
        <f>6299020/7008032*100-100</f>
        <v>-10.117134168337131</v>
      </c>
      <c r="E40" s="176">
        <v>2476245</v>
      </c>
      <c r="F40" s="170">
        <f>E40*100/C40</f>
        <v>39.311591326904818</v>
      </c>
      <c r="G40" s="170">
        <f>2476245/2757724*100-100</f>
        <v>-10.206931513088321</v>
      </c>
      <c r="H40" s="179">
        <v>6294360</v>
      </c>
      <c r="I40" s="177">
        <v>2474330</v>
      </c>
    </row>
    <row r="41" spans="1:9" s="20" customFormat="1" ht="12.75" customHeight="1">
      <c r="A41" s="60" t="s">
        <v>87</v>
      </c>
      <c r="B41" s="61" t="s">
        <v>174</v>
      </c>
      <c r="C41" s="178">
        <v>248133</v>
      </c>
      <c r="D41" s="161">
        <f>248133/242299*100-100</f>
        <v>2.4077689136150013</v>
      </c>
      <c r="E41" s="178">
        <v>14818</v>
      </c>
      <c r="F41" s="161">
        <f>E41*100/C41</f>
        <v>5.9717973828551623</v>
      </c>
      <c r="G41" s="161">
        <f>14818/15650*100-100</f>
        <v>-5.3162939297124581</v>
      </c>
      <c r="H41" s="179">
        <v>244471</v>
      </c>
      <c r="I41" s="179">
        <v>14431</v>
      </c>
    </row>
    <row r="42" spans="1:9" s="22" customFormat="1" ht="13.35" customHeight="1">
      <c r="A42" s="62" t="s">
        <v>88</v>
      </c>
      <c r="B42" s="64" t="s">
        <v>191</v>
      </c>
      <c r="C42" s="180">
        <v>50212</v>
      </c>
      <c r="D42" s="166">
        <f>50212/52920*100-100</f>
        <v>-5.117157974300838</v>
      </c>
      <c r="E42" s="192" t="s">
        <v>290</v>
      </c>
      <c r="F42" s="169" t="s">
        <v>290</v>
      </c>
      <c r="G42" s="169" t="s">
        <v>290</v>
      </c>
      <c r="H42" s="181">
        <v>50212</v>
      </c>
      <c r="I42" s="192" t="s">
        <v>290</v>
      </c>
    </row>
    <row r="43" spans="1:9" s="22" customFormat="1" ht="24" customHeight="1">
      <c r="A43" s="48" t="s">
        <v>89</v>
      </c>
      <c r="B43" s="64" t="s">
        <v>241</v>
      </c>
      <c r="C43" s="180">
        <v>78216</v>
      </c>
      <c r="D43" s="166">
        <f>78216/72911*100-100</f>
        <v>7.2759940201067081</v>
      </c>
      <c r="E43" s="180">
        <v>11067</v>
      </c>
      <c r="F43" s="166">
        <f t="shared" ref="F43:F55" si="1">E43*100/C43</f>
        <v>14.149278919914083</v>
      </c>
      <c r="G43" s="166">
        <f>11067/10716*100-100</f>
        <v>3.2754759238521842</v>
      </c>
      <c r="H43" s="181">
        <v>77432</v>
      </c>
      <c r="I43" s="181">
        <v>10839</v>
      </c>
    </row>
    <row r="44" spans="1:9" s="22" customFormat="1" ht="12.75" customHeight="1">
      <c r="A44" s="62" t="s">
        <v>90</v>
      </c>
      <c r="B44" s="64" t="s">
        <v>192</v>
      </c>
      <c r="C44" s="180">
        <v>36133</v>
      </c>
      <c r="D44" s="166">
        <f>36133/35760*100-100</f>
        <v>1.0430648769574873</v>
      </c>
      <c r="E44" s="180">
        <v>2082</v>
      </c>
      <c r="F44" s="166">
        <f t="shared" si="1"/>
        <v>5.7620457753300309</v>
      </c>
      <c r="G44" s="166">
        <f>2082/2672*100-100</f>
        <v>-22.080838323353291</v>
      </c>
      <c r="H44" s="181">
        <v>35739</v>
      </c>
      <c r="I44" s="181">
        <v>2010</v>
      </c>
    </row>
    <row r="45" spans="1:9" s="20" customFormat="1" ht="24" customHeight="1">
      <c r="A45" s="51" t="s">
        <v>91</v>
      </c>
      <c r="B45" s="61" t="s">
        <v>175</v>
      </c>
      <c r="C45" s="178">
        <v>1432684</v>
      </c>
      <c r="D45" s="161">
        <f>1432684/1416539*100-100</f>
        <v>1.1397497703910631</v>
      </c>
      <c r="E45" s="178">
        <v>779938</v>
      </c>
      <c r="F45" s="161">
        <f t="shared" si="1"/>
        <v>54.438941176142123</v>
      </c>
      <c r="G45" s="161">
        <f>779938/809400*100-100</f>
        <v>-3.6399802322708297</v>
      </c>
      <c r="H45" s="179">
        <v>1425346</v>
      </c>
      <c r="I45" s="179">
        <v>778048</v>
      </c>
    </row>
    <row r="46" spans="1:9" s="21" customFormat="1" ht="24" customHeight="1">
      <c r="A46" s="48" t="s">
        <v>92</v>
      </c>
      <c r="B46" s="64" t="s">
        <v>235</v>
      </c>
      <c r="C46" s="180">
        <v>160614</v>
      </c>
      <c r="D46" s="166">
        <f>160614/174533*100-100</f>
        <v>-7.9749961325365319</v>
      </c>
      <c r="E46" s="180">
        <v>84498</v>
      </c>
      <c r="F46" s="166">
        <f t="shared" si="1"/>
        <v>52.609361574956104</v>
      </c>
      <c r="G46" s="166">
        <f>84498/103327*100-100</f>
        <v>-18.222729780212333</v>
      </c>
      <c r="H46" s="181">
        <v>156986</v>
      </c>
      <c r="I46" s="181">
        <v>82814</v>
      </c>
    </row>
    <row r="47" spans="1:9" s="21" customFormat="1">
      <c r="A47" s="60" t="s">
        <v>93</v>
      </c>
      <c r="B47" s="71" t="s">
        <v>176</v>
      </c>
      <c r="C47" s="178">
        <v>658743</v>
      </c>
      <c r="D47" s="161">
        <f>658743/699374*100-100</f>
        <v>-5.8096240352086284</v>
      </c>
      <c r="E47" s="178">
        <v>188421</v>
      </c>
      <c r="F47" s="161">
        <f t="shared" si="1"/>
        <v>28.603112291136302</v>
      </c>
      <c r="G47" s="161">
        <f>188421/187989*100-100</f>
        <v>0.22980067982700803</v>
      </c>
      <c r="H47" s="179">
        <v>206976</v>
      </c>
      <c r="I47" s="179">
        <v>117703</v>
      </c>
    </row>
    <row r="48" spans="1:9" s="21" customFormat="1" ht="38.25" customHeight="1">
      <c r="A48" s="48" t="s">
        <v>94</v>
      </c>
      <c r="B48" s="64" t="s">
        <v>236</v>
      </c>
      <c r="C48" s="180">
        <v>68295</v>
      </c>
      <c r="D48" s="166">
        <f>68295/82100*100-100</f>
        <v>-16.814859926918388</v>
      </c>
      <c r="E48" s="180">
        <v>33218</v>
      </c>
      <c r="F48" s="166">
        <f t="shared" si="1"/>
        <v>48.638992605608024</v>
      </c>
      <c r="G48" s="166">
        <f>33218/34218*100-100</f>
        <v>-2.9224384826699463</v>
      </c>
      <c r="H48" s="181">
        <v>66862</v>
      </c>
      <c r="I48" s="181">
        <v>32340</v>
      </c>
    </row>
    <row r="49" spans="1:9" s="21" customFormat="1" ht="27" customHeight="1">
      <c r="A49" s="48" t="s">
        <v>95</v>
      </c>
      <c r="B49" s="64" t="s">
        <v>210</v>
      </c>
      <c r="C49" s="180">
        <v>108924</v>
      </c>
      <c r="D49" s="166">
        <f>108924/114850*100-100</f>
        <v>-5.1597736177622977</v>
      </c>
      <c r="E49" s="180">
        <v>74246</v>
      </c>
      <c r="F49" s="166">
        <f t="shared" si="1"/>
        <v>68.163122911387759</v>
      </c>
      <c r="G49" s="166">
        <f>74246/82866*100-100</f>
        <v>-10.402336301981506</v>
      </c>
      <c r="H49" s="181">
        <v>108924</v>
      </c>
      <c r="I49" s="181">
        <v>74246</v>
      </c>
    </row>
    <row r="50" spans="1:9" s="21" customFormat="1">
      <c r="A50" s="60" t="s">
        <v>96</v>
      </c>
      <c r="B50" s="66" t="s">
        <v>177</v>
      </c>
      <c r="C50" s="178">
        <v>3013517</v>
      </c>
      <c r="D50" s="161">
        <f>3013517/3017826*100-100</f>
        <v>-0.14278490542530164</v>
      </c>
      <c r="E50" s="178">
        <v>2155601</v>
      </c>
      <c r="F50" s="161">
        <f t="shared" si="1"/>
        <v>71.531071502168402</v>
      </c>
      <c r="G50" s="161">
        <f>2155601/2076399*100-100</f>
        <v>3.8143921279099118</v>
      </c>
      <c r="H50" s="179">
        <v>2533967</v>
      </c>
      <c r="I50" s="179">
        <v>1827103</v>
      </c>
    </row>
    <row r="51" spans="1:9" s="22" customFormat="1">
      <c r="A51" s="62" t="s">
        <v>97</v>
      </c>
      <c r="B51" s="67" t="s">
        <v>214</v>
      </c>
      <c r="C51" s="180">
        <v>62284</v>
      </c>
      <c r="D51" s="166">
        <f>62284/66784*100-100</f>
        <v>-6.7381408720651734</v>
      </c>
      <c r="E51" s="180">
        <v>46135</v>
      </c>
      <c r="F51" s="166">
        <f t="shared" si="1"/>
        <v>74.071992807141484</v>
      </c>
      <c r="G51" s="166">
        <f>46135/49394*100-100</f>
        <v>-6.5979673644572188</v>
      </c>
      <c r="H51" s="181">
        <v>61139</v>
      </c>
      <c r="I51" s="181">
        <v>45332</v>
      </c>
    </row>
    <row r="52" spans="1:9" s="21" customFormat="1" ht="25.5" customHeight="1">
      <c r="A52" s="48" t="s">
        <v>98</v>
      </c>
      <c r="B52" s="64" t="s">
        <v>237</v>
      </c>
      <c r="C52" s="180">
        <v>1268831</v>
      </c>
      <c r="D52" s="166">
        <f>1268831/1270486*100-100</f>
        <v>-0.13026511114644279</v>
      </c>
      <c r="E52" s="180">
        <v>806727</v>
      </c>
      <c r="F52" s="166">
        <f t="shared" si="1"/>
        <v>63.580334969747746</v>
      </c>
      <c r="G52" s="166">
        <f>806727/770099*100-100</f>
        <v>4.7562715962493201</v>
      </c>
      <c r="H52" s="181">
        <v>1106760</v>
      </c>
      <c r="I52" s="181">
        <v>731822</v>
      </c>
    </row>
    <row r="53" spans="1:9" s="21" customFormat="1">
      <c r="A53" s="62" t="s">
        <v>99</v>
      </c>
      <c r="B53" s="67" t="s">
        <v>193</v>
      </c>
      <c r="C53" s="180">
        <v>991592</v>
      </c>
      <c r="D53" s="166">
        <f>991592/935041*100-100</f>
        <v>6.0479700890121393</v>
      </c>
      <c r="E53" s="180">
        <v>663960</v>
      </c>
      <c r="F53" s="166">
        <f t="shared" si="1"/>
        <v>66.958991197992717</v>
      </c>
      <c r="G53" s="166">
        <f>663960/603727*100-100</f>
        <v>9.976860402135415</v>
      </c>
      <c r="H53" s="181">
        <v>922362</v>
      </c>
      <c r="I53" s="181">
        <v>615372</v>
      </c>
    </row>
    <row r="54" spans="1:9" s="20" customFormat="1" ht="27">
      <c r="A54" s="48" t="s">
        <v>100</v>
      </c>
      <c r="B54" s="64" t="s">
        <v>242</v>
      </c>
      <c r="C54" s="180">
        <v>71838</v>
      </c>
      <c r="D54" s="166">
        <f>71838/87794*100-100</f>
        <v>-18.174362712713858</v>
      </c>
      <c r="E54" s="180">
        <v>42686</v>
      </c>
      <c r="F54" s="166">
        <f t="shared" si="1"/>
        <v>59.419805673877335</v>
      </c>
      <c r="G54" s="166">
        <f>42686/47838*100-100</f>
        <v>-10.769681006731048</v>
      </c>
      <c r="H54" s="181">
        <v>68762</v>
      </c>
      <c r="I54" s="181">
        <v>40635</v>
      </c>
    </row>
    <row r="55" spans="1:9" s="21" customFormat="1" ht="27">
      <c r="A55" s="48" t="s">
        <v>101</v>
      </c>
      <c r="B55" s="64" t="s">
        <v>238</v>
      </c>
      <c r="C55" s="180">
        <v>1181242</v>
      </c>
      <c r="D55" s="166">
        <f>1181242/1107691*100-100</f>
        <v>6.6400286722560793</v>
      </c>
      <c r="E55" s="180">
        <v>937045</v>
      </c>
      <c r="F55" s="166">
        <f t="shared" si="1"/>
        <v>79.32709808828335</v>
      </c>
      <c r="G55" s="166">
        <f>937045/926040*100-100</f>
        <v>1.1883935899097224</v>
      </c>
      <c r="H55" s="181">
        <v>882936</v>
      </c>
      <c r="I55" s="181">
        <v>697454</v>
      </c>
    </row>
    <row r="56" spans="1:9" s="21" customFormat="1">
      <c r="A56" s="68" t="s">
        <v>102</v>
      </c>
      <c r="B56" s="66" t="s">
        <v>178</v>
      </c>
      <c r="C56" s="192" t="s">
        <v>290</v>
      </c>
      <c r="D56" s="169" t="s">
        <v>290</v>
      </c>
      <c r="E56" s="192" t="s">
        <v>290</v>
      </c>
      <c r="F56" s="169" t="s">
        <v>290</v>
      </c>
      <c r="G56" s="169" t="s">
        <v>290</v>
      </c>
      <c r="H56" s="192" t="s">
        <v>290</v>
      </c>
      <c r="I56" s="192" t="s">
        <v>290</v>
      </c>
    </row>
    <row r="57" spans="1:9" s="21" customFormat="1">
      <c r="A57" s="60" t="s">
        <v>103</v>
      </c>
      <c r="B57" s="61" t="s">
        <v>179</v>
      </c>
      <c r="C57" s="192" t="s">
        <v>290</v>
      </c>
      <c r="D57" s="169" t="s">
        <v>4</v>
      </c>
      <c r="E57" s="192" t="s">
        <v>290</v>
      </c>
      <c r="F57" s="169" t="s">
        <v>290</v>
      </c>
      <c r="G57" s="169" t="s">
        <v>290</v>
      </c>
      <c r="H57" s="192" t="s">
        <v>290</v>
      </c>
      <c r="I57" s="192" t="s">
        <v>290</v>
      </c>
    </row>
    <row r="58" spans="1:9" s="20" customFormat="1">
      <c r="A58" s="62" t="s">
        <v>104</v>
      </c>
      <c r="B58" s="64" t="s">
        <v>180</v>
      </c>
      <c r="C58" s="180">
        <v>266101</v>
      </c>
      <c r="D58" s="166">
        <f>266101/421961*100-100</f>
        <v>-36.937062903917663</v>
      </c>
      <c r="E58" s="193">
        <v>91948</v>
      </c>
      <c r="F58" s="194">
        <f>E58*100/C58</f>
        <v>34.553797242400442</v>
      </c>
      <c r="G58" s="207">
        <f>91948/65772*100-100</f>
        <v>39.798090372803017</v>
      </c>
      <c r="H58" s="181">
        <v>255758</v>
      </c>
      <c r="I58" s="193">
        <v>86688</v>
      </c>
    </row>
    <row r="59" spans="1:9" s="23" customFormat="1">
      <c r="A59" s="60" t="s">
        <v>105</v>
      </c>
      <c r="B59" s="61" t="s">
        <v>195</v>
      </c>
      <c r="C59" s="176">
        <v>9881</v>
      </c>
      <c r="D59" s="195">
        <f>9881/9708*100-100</f>
        <v>1.7820354346930429</v>
      </c>
      <c r="E59" s="192" t="s">
        <v>290</v>
      </c>
      <c r="F59" s="169" t="s">
        <v>290</v>
      </c>
      <c r="G59" s="169" t="s">
        <v>290</v>
      </c>
      <c r="H59" s="181">
        <v>5881</v>
      </c>
      <c r="I59" s="192" t="s">
        <v>290</v>
      </c>
    </row>
    <row r="60" spans="1:9" s="21" customFormat="1">
      <c r="A60" s="60" t="s">
        <v>106</v>
      </c>
      <c r="B60" s="61" t="s">
        <v>181</v>
      </c>
      <c r="C60" s="178">
        <v>1029539</v>
      </c>
      <c r="D60" s="161">
        <f>1029539/937570*100-100</f>
        <v>9.809294239363453</v>
      </c>
      <c r="E60" s="178">
        <v>682602</v>
      </c>
      <c r="F60" s="161">
        <f>E60*100/C60</f>
        <v>66.301713679617777</v>
      </c>
      <c r="G60" s="161">
        <f>682602/604401*100-100</f>
        <v>12.938595402721049</v>
      </c>
      <c r="H60" s="179">
        <v>707929</v>
      </c>
      <c r="I60" s="179">
        <v>416312</v>
      </c>
    </row>
    <row r="61" spans="1:9" s="21" customFormat="1" ht="27">
      <c r="A61" s="48" t="s">
        <v>107</v>
      </c>
      <c r="B61" s="64" t="s">
        <v>213</v>
      </c>
      <c r="C61" s="180">
        <v>502925</v>
      </c>
      <c r="D61" s="166">
        <f>502925/444983*100-100</f>
        <v>13.021171595319373</v>
      </c>
      <c r="E61" s="192" t="s">
        <v>290</v>
      </c>
      <c r="F61" s="169" t="s">
        <v>290</v>
      </c>
      <c r="G61" s="169" t="s">
        <v>290</v>
      </c>
      <c r="H61" s="203">
        <v>430164</v>
      </c>
      <c r="I61" s="169" t="s">
        <v>290</v>
      </c>
    </row>
    <row r="62" spans="1:9" s="21" customFormat="1" ht="27">
      <c r="A62" s="51" t="s">
        <v>108</v>
      </c>
      <c r="B62" s="61" t="s">
        <v>212</v>
      </c>
      <c r="C62" s="178">
        <v>4883207</v>
      </c>
      <c r="D62" s="161">
        <f>4883207/4874757*100-100</f>
        <v>0.17334197376402471</v>
      </c>
      <c r="E62" s="178">
        <v>2299269</v>
      </c>
      <c r="F62" s="161">
        <f>E62*100/C62</f>
        <v>47.085224935170679</v>
      </c>
      <c r="G62" s="161">
        <f>2299269/2381341*100-100</f>
        <v>-3.4464614685591073</v>
      </c>
      <c r="H62" s="179">
        <v>4446713</v>
      </c>
      <c r="I62" s="179">
        <v>2276971</v>
      </c>
    </row>
    <row r="63" spans="1:9" s="21" customFormat="1" ht="27">
      <c r="A63" s="48" t="s">
        <v>109</v>
      </c>
      <c r="B63" s="64" t="s">
        <v>239</v>
      </c>
      <c r="C63" s="180">
        <v>4124449</v>
      </c>
      <c r="D63" s="166">
        <f>4124449/4188874*100-100</f>
        <v>-1.5380028141214126</v>
      </c>
      <c r="E63" s="192" t="s">
        <v>290</v>
      </c>
      <c r="F63" s="169" t="s">
        <v>290</v>
      </c>
      <c r="G63" s="169" t="s">
        <v>290</v>
      </c>
      <c r="H63" s="181">
        <v>3757422</v>
      </c>
      <c r="I63" s="192" t="s">
        <v>290</v>
      </c>
    </row>
    <row r="64" spans="1:9" s="22" customFormat="1" ht="14.45" customHeight="1">
      <c r="A64" s="62" t="s">
        <v>110</v>
      </c>
      <c r="B64" s="67" t="s">
        <v>121</v>
      </c>
      <c r="C64" s="180">
        <v>54892</v>
      </c>
      <c r="D64" s="166">
        <f>54892/51436*100-100</f>
        <v>6.719029473520493</v>
      </c>
      <c r="E64" s="192" t="s">
        <v>290</v>
      </c>
      <c r="F64" s="169" t="s">
        <v>290</v>
      </c>
      <c r="G64" s="169" t="s">
        <v>290</v>
      </c>
      <c r="H64" s="181">
        <v>30611</v>
      </c>
      <c r="I64" s="192" t="s">
        <v>290</v>
      </c>
    </row>
    <row r="65" spans="1:9" s="21" customFormat="1">
      <c r="A65" s="62" t="s">
        <v>111</v>
      </c>
      <c r="B65" s="64" t="s">
        <v>122</v>
      </c>
      <c r="C65" s="180">
        <v>305298</v>
      </c>
      <c r="D65" s="166">
        <f>305298/354830*100-100</f>
        <v>-13.959360820674689</v>
      </c>
      <c r="E65" s="180">
        <v>51931</v>
      </c>
      <c r="F65" s="166">
        <f>E65*100/C65</f>
        <v>17.009937831233746</v>
      </c>
      <c r="G65" s="166">
        <f>51931/54716*100-100</f>
        <v>-5.0899188537173785</v>
      </c>
      <c r="H65" s="181">
        <v>262413</v>
      </c>
      <c r="I65" s="181">
        <v>43724</v>
      </c>
    </row>
    <row r="66" spans="1:9" s="21" customFormat="1" ht="24.75" customHeight="1">
      <c r="A66" s="48" t="s">
        <v>112</v>
      </c>
      <c r="B66" s="64" t="s">
        <v>240</v>
      </c>
      <c r="C66" s="192" t="s">
        <v>4</v>
      </c>
      <c r="D66" s="169" t="s">
        <v>290</v>
      </c>
      <c r="E66" s="192" t="s">
        <v>290</v>
      </c>
      <c r="F66" s="169" t="s">
        <v>290</v>
      </c>
      <c r="G66" s="169" t="s">
        <v>290</v>
      </c>
      <c r="H66" s="192">
        <v>23153</v>
      </c>
      <c r="I66" s="192" t="s">
        <v>290</v>
      </c>
    </row>
    <row r="67" spans="1:9" s="22" customFormat="1">
      <c r="A67" s="62" t="s">
        <v>113</v>
      </c>
      <c r="B67" s="67" t="s">
        <v>196</v>
      </c>
      <c r="C67" s="180">
        <v>18140</v>
      </c>
      <c r="D67" s="166">
        <f>18140/21533*100-100</f>
        <v>-15.757209863929774</v>
      </c>
      <c r="E67" s="192" t="s">
        <v>290</v>
      </c>
      <c r="F67" s="169" t="s">
        <v>290</v>
      </c>
      <c r="G67" s="169" t="s">
        <v>290</v>
      </c>
      <c r="H67" s="181">
        <v>12703</v>
      </c>
      <c r="I67" s="192" t="s">
        <v>290</v>
      </c>
    </row>
    <row r="68" spans="1:9" s="21" customFormat="1" ht="27">
      <c r="A68" s="48" t="s">
        <v>114</v>
      </c>
      <c r="B68" s="71" t="s">
        <v>224</v>
      </c>
      <c r="C68" s="180">
        <v>758757</v>
      </c>
      <c r="D68" s="166">
        <f>758757/685883*100-100</f>
        <v>10.624844178963471</v>
      </c>
      <c r="E68" s="193">
        <v>201399</v>
      </c>
      <c r="F68" s="194">
        <v>26.5</v>
      </c>
      <c r="G68" s="194">
        <v>-14</v>
      </c>
      <c r="H68" s="181">
        <v>689291</v>
      </c>
      <c r="I68" s="193">
        <v>198940</v>
      </c>
    </row>
    <row r="69" spans="1:9" s="21" customFormat="1" ht="6" customHeight="1">
      <c r="A69" s="62"/>
      <c r="B69" s="67"/>
      <c r="C69" s="47"/>
      <c r="D69" s="113"/>
      <c r="E69" s="47"/>
      <c r="F69" s="113"/>
      <c r="G69" s="113"/>
      <c r="H69" s="47"/>
      <c r="I69" s="47"/>
    </row>
    <row r="70" spans="1:9" s="21" customFormat="1" ht="12.75" customHeight="1">
      <c r="A70" s="60" t="s">
        <v>115</v>
      </c>
      <c r="B70" s="70" t="s">
        <v>183</v>
      </c>
      <c r="C70" s="178">
        <v>68567351</v>
      </c>
      <c r="D70" s="161">
        <f>68567351/70914314*100-100</f>
        <v>-3.3095758354230185</v>
      </c>
      <c r="E70" s="178">
        <v>21526064</v>
      </c>
      <c r="F70" s="161">
        <f>E70*100/C70</f>
        <v>31.394043500382566</v>
      </c>
      <c r="G70" s="161">
        <f>21526064/20863282*100-100</f>
        <v>3.1767868545322813</v>
      </c>
      <c r="H70" s="179">
        <v>33774738</v>
      </c>
      <c r="I70" s="179">
        <v>18774672</v>
      </c>
    </row>
    <row r="71" spans="1:9" s="20" customFormat="1" ht="6" customHeight="1">
      <c r="A71" s="60"/>
      <c r="B71" s="70"/>
      <c r="C71" s="49"/>
      <c r="D71" s="112"/>
      <c r="E71" s="49"/>
      <c r="F71" s="113"/>
      <c r="G71" s="113"/>
      <c r="H71" s="49"/>
      <c r="I71" s="49"/>
    </row>
    <row r="72" spans="1:9" s="21" customFormat="1">
      <c r="A72" s="60" t="s">
        <v>116</v>
      </c>
      <c r="B72" s="66" t="s">
        <v>202</v>
      </c>
      <c r="C72" s="178">
        <v>10415995</v>
      </c>
      <c r="D72" s="161">
        <f>10415995/10975999*100-100</f>
        <v>-5.102077724314654</v>
      </c>
      <c r="E72" s="178">
        <v>3955413</v>
      </c>
      <c r="F72" s="161">
        <f>E72*100/C72</f>
        <v>37.9744133901754</v>
      </c>
      <c r="G72" s="161">
        <f>3955413/4231865*100-100</f>
        <v>-6.5326280493352158</v>
      </c>
      <c r="H72" s="179">
        <v>9468610</v>
      </c>
      <c r="I72" s="179">
        <v>3658047</v>
      </c>
    </row>
    <row r="73" spans="1:9" s="21" customFormat="1">
      <c r="A73" s="60" t="s">
        <v>56</v>
      </c>
      <c r="B73" s="66" t="s">
        <v>203</v>
      </c>
      <c r="C73" s="178">
        <v>18192377</v>
      </c>
      <c r="D73" s="161">
        <f>18192377/17176209*100-100</f>
        <v>5.916136674862301</v>
      </c>
      <c r="E73" s="178">
        <v>13572863</v>
      </c>
      <c r="F73" s="161">
        <f>E73*100/C73</f>
        <v>74.607419360317792</v>
      </c>
      <c r="G73" s="161">
        <f>13572863/12409706*100-100</f>
        <v>9.3729617768543392</v>
      </c>
      <c r="H73" s="179">
        <v>17172678</v>
      </c>
      <c r="I73" s="179">
        <v>13167473</v>
      </c>
    </row>
    <row r="74" spans="1:9" s="20" customFormat="1">
      <c r="A74" s="51" t="s">
        <v>117</v>
      </c>
      <c r="B74" s="53" t="s">
        <v>204</v>
      </c>
      <c r="C74" s="178">
        <v>683060</v>
      </c>
      <c r="D74" s="161">
        <f>683060/616069*100-100</f>
        <v>10.873944314679022</v>
      </c>
      <c r="E74" s="178">
        <v>125908</v>
      </c>
      <c r="F74" s="161">
        <f>E74*100/C74</f>
        <v>18.432934149269464</v>
      </c>
      <c r="G74" s="207">
        <f>125908/125875*100-100</f>
        <v>2.6216484607743951E-2</v>
      </c>
      <c r="H74" s="179">
        <v>679060</v>
      </c>
      <c r="I74" s="179">
        <v>125908</v>
      </c>
    </row>
    <row r="75" spans="1:9" s="20" customFormat="1">
      <c r="A75" s="51" t="s">
        <v>118</v>
      </c>
      <c r="B75" s="53" t="s">
        <v>205</v>
      </c>
      <c r="C75" s="178">
        <v>8492325</v>
      </c>
      <c r="D75" s="161">
        <f>8492325/8577821*100-100</f>
        <v>-0.9967100036244716</v>
      </c>
      <c r="E75" s="178">
        <v>1239753</v>
      </c>
      <c r="F75" s="161">
        <f>E75*100/C75</f>
        <v>14.598511008469412</v>
      </c>
      <c r="G75" s="161">
        <f>1239753/1175421*100-100</f>
        <v>5.4731028286886243</v>
      </c>
      <c r="H75" s="179">
        <v>2734584</v>
      </c>
      <c r="I75" s="179">
        <v>906415</v>
      </c>
    </row>
    <row r="76" spans="1:9" s="20" customFormat="1" ht="11.25" customHeight="1">
      <c r="A76" s="84" t="s">
        <v>119</v>
      </c>
      <c r="B76" s="85" t="s">
        <v>182</v>
      </c>
      <c r="C76" s="182">
        <v>30783593</v>
      </c>
      <c r="D76" s="175">
        <f>30783593/33568216*100-100</f>
        <v>-8.2954155204434983</v>
      </c>
      <c r="E76" s="182">
        <v>2632127</v>
      </c>
      <c r="F76" s="175">
        <f>E76*100/C76</f>
        <v>8.550421648311163</v>
      </c>
      <c r="G76" s="175">
        <f>2632127/2920415*100-100</f>
        <v>-9.8714737460258135</v>
      </c>
      <c r="H76" s="183">
        <v>3719806</v>
      </c>
      <c r="I76" s="183">
        <v>916829</v>
      </c>
    </row>
    <row r="77" spans="1:9" s="21" customFormat="1">
      <c r="A77" s="79"/>
      <c r="B77" s="79"/>
      <c r="C77" s="80"/>
      <c r="D77" s="107"/>
      <c r="E77" s="54"/>
      <c r="F77" s="110"/>
      <c r="G77" s="110"/>
      <c r="H77" s="54"/>
      <c r="I77" s="54"/>
    </row>
    <row r="78" spans="1:9" s="21" customFormat="1">
      <c r="A78" s="79"/>
      <c r="B78" s="79"/>
      <c r="C78" s="80"/>
      <c r="D78" s="107"/>
      <c r="E78" s="54"/>
      <c r="F78" s="110"/>
      <c r="G78" s="110"/>
      <c r="H78" s="54"/>
      <c r="I78" s="54"/>
    </row>
    <row r="79" spans="1:9" s="21" customFormat="1">
      <c r="A79" s="79"/>
      <c r="B79" s="79"/>
      <c r="C79" s="80"/>
      <c r="D79" s="107"/>
      <c r="E79" s="54"/>
      <c r="F79" s="110"/>
      <c r="G79" s="110"/>
      <c r="H79" s="54"/>
      <c r="I79" s="54"/>
    </row>
    <row r="80" spans="1:9" s="21" customFormat="1">
      <c r="A80" s="79"/>
      <c r="B80" s="79"/>
      <c r="C80" s="80"/>
      <c r="D80" s="107"/>
      <c r="E80" s="54"/>
      <c r="F80" s="110"/>
      <c r="G80" s="110"/>
      <c r="H80" s="54"/>
      <c r="I80" s="54"/>
    </row>
    <row r="81" spans="1:9" s="21" customFormat="1">
      <c r="A81" s="79"/>
      <c r="B81" s="79"/>
      <c r="C81" s="80"/>
      <c r="D81" s="107"/>
      <c r="E81" s="54"/>
      <c r="F81" s="110"/>
      <c r="G81" s="110"/>
      <c r="H81" s="54"/>
      <c r="I81" s="54"/>
    </row>
    <row r="82" spans="1:9" s="21" customFormat="1">
      <c r="A82" s="79"/>
      <c r="B82" s="79"/>
      <c r="C82" s="80"/>
      <c r="D82" s="107"/>
      <c r="E82" s="54"/>
      <c r="F82" s="110"/>
      <c r="G82" s="110"/>
      <c r="H82" s="54"/>
      <c r="I82" s="54"/>
    </row>
    <row r="83" spans="1:9" s="21" customFormat="1">
      <c r="A83" s="79"/>
      <c r="B83" s="79"/>
      <c r="C83" s="80"/>
      <c r="D83" s="107"/>
      <c r="E83" s="54"/>
      <c r="F83" s="110"/>
      <c r="G83" s="110"/>
      <c r="H83" s="54"/>
      <c r="I83" s="54"/>
    </row>
    <row r="84" spans="1:9" s="21" customFormat="1">
      <c r="A84" s="79"/>
      <c r="B84" s="79"/>
      <c r="C84" s="80"/>
      <c r="D84" s="107"/>
      <c r="E84" s="54"/>
      <c r="F84" s="110"/>
      <c r="G84" s="110"/>
      <c r="H84" s="54"/>
      <c r="I84" s="54"/>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170" priority="95">
      <formula>"""=Rest(ZEILE();2)=1"""</formula>
    </cfRule>
    <cfRule type="expression" dxfId="169" priority="96">
      <formula>"""=Rest(Zeile();2)=1"""</formula>
    </cfRule>
  </conditionalFormatting>
  <conditionalFormatting sqref="A18:C18 E18:I18 A20:B22 H40 H74:I74 H76:I76 A19:D19 A13:D13 A58:D58 A60:I60 A23:D23 A69:I73 A14:I14 A38:D40 A75:I75 A74:F74 A76:F76 A41:I41 A59:C59 A66:B66 A24:B24 A7:I7 A8:B11 A15:D16 A17:B17 A43:I52 A42:D42 A54:I55 A53:F53 H53 A56:B57 H58 A62:I62 A61:D61 A65:I65 A63:D64 H63:H64 A67:D68 H23 A12:I12 A25:I37">
    <cfRule type="expression" dxfId="168" priority="80">
      <formula>MOD(ROW(),2)=0</formula>
    </cfRule>
  </conditionalFormatting>
  <conditionalFormatting sqref="D18">
    <cfRule type="expression" dxfId="167" priority="79">
      <formula>MOD(ROW(),2)=0</formula>
    </cfRule>
  </conditionalFormatting>
  <conditionalFormatting sqref="I40">
    <cfRule type="expression" dxfId="166" priority="36">
      <formula>MOD(ROW(),2)=0</formula>
    </cfRule>
  </conditionalFormatting>
  <conditionalFormatting sqref="G40">
    <cfRule type="expression" dxfId="165" priority="35">
      <formula>MOD(ROW(),2)=0</formula>
    </cfRule>
  </conditionalFormatting>
  <conditionalFormatting sqref="F40">
    <cfRule type="expression" dxfId="164" priority="34">
      <formula>MOD(ROW(),2)=0</formula>
    </cfRule>
  </conditionalFormatting>
  <conditionalFormatting sqref="E40">
    <cfRule type="expression" dxfId="163" priority="33">
      <formula>MOD(ROW(),2)=0</formula>
    </cfRule>
  </conditionalFormatting>
  <conditionalFormatting sqref="G74">
    <cfRule type="expression" dxfId="162" priority="32">
      <formula>MOD(ROW(),2)=0</formula>
    </cfRule>
  </conditionalFormatting>
  <conditionalFormatting sqref="G76">
    <cfRule type="expression" dxfId="161" priority="30">
      <formula>MOD(ROW(),2)=0</formula>
    </cfRule>
  </conditionalFormatting>
  <conditionalFormatting sqref="D8">
    <cfRule type="expression" dxfId="160" priority="27">
      <formula>MOD(ROW(),2)=0</formula>
    </cfRule>
  </conditionalFormatting>
  <conditionalFormatting sqref="D9:D10 C11:G11 F8:G10">
    <cfRule type="expression" dxfId="159" priority="26">
      <formula>MOD(ROW(),2)=0</formula>
    </cfRule>
  </conditionalFormatting>
  <conditionalFormatting sqref="D24 D20:D22 C17:D17 F15:G17 F13:G13 F19:G22 F24:G24">
    <cfRule type="expression" dxfId="158" priority="25">
      <formula>MOD(ROW(),2)=0</formula>
    </cfRule>
  </conditionalFormatting>
  <conditionalFormatting sqref="D66 F61:G61 D59 F42:G42 F38:G39 D56:D57 F56:G59 F63:G64 F66:G68">
    <cfRule type="expression" dxfId="157" priority="24">
      <formula>MOD(ROW(),2)=0</formula>
    </cfRule>
  </conditionalFormatting>
  <conditionalFormatting sqref="C8:C10">
    <cfRule type="expression" dxfId="156" priority="23">
      <formula>MOD(ROW(),2)=0</formula>
    </cfRule>
  </conditionalFormatting>
  <conditionalFormatting sqref="E8:E10">
    <cfRule type="expression" dxfId="155" priority="22">
      <formula>MOD(ROW(),2)=0</formula>
    </cfRule>
  </conditionalFormatting>
  <conditionalFormatting sqref="H8:I11">
    <cfRule type="expression" dxfId="154" priority="21">
      <formula>MOD(ROW(),2)=0</formula>
    </cfRule>
  </conditionalFormatting>
  <conditionalFormatting sqref="C24 C20:C22 H16:I17 E15:E17 H13:I13 E13 I15 H19:I22 E19:E22 E24 H24:I24">
    <cfRule type="expression" dxfId="153" priority="20">
      <formula>MOD(ROW(),2)=0</formula>
    </cfRule>
  </conditionalFormatting>
  <conditionalFormatting sqref="H38:I38 E38:E39 I39">
    <cfRule type="expression" dxfId="152" priority="19">
      <formula>MOD(ROW(),2)=0</formula>
    </cfRule>
  </conditionalFormatting>
  <conditionalFormatting sqref="I42 E42">
    <cfRule type="expression" dxfId="151" priority="18">
      <formula>MOD(ROW(),2)=0</formula>
    </cfRule>
  </conditionalFormatting>
  <conditionalFormatting sqref="H66:I66 E66:E68 C66 I63:I64 E63:E64 E61 I58:I59 E56:E59 C56 I67:I68 H56:I57">
    <cfRule type="expression" dxfId="150" priority="17">
      <formula>MOD(ROW(),2)=0</formula>
    </cfRule>
  </conditionalFormatting>
  <conditionalFormatting sqref="H15">
    <cfRule type="expression" dxfId="149" priority="16">
      <formula>MOD(ROW(),2)=0</formula>
    </cfRule>
  </conditionalFormatting>
  <conditionalFormatting sqref="H39">
    <cfRule type="expression" dxfId="148" priority="14">
      <formula>MOD(ROW(),2)=0</formula>
    </cfRule>
  </conditionalFormatting>
  <conditionalFormatting sqref="H42">
    <cfRule type="expression" dxfId="147" priority="13">
      <formula>MOD(ROW(),2)=0</formula>
    </cfRule>
  </conditionalFormatting>
  <conditionalFormatting sqref="H59">
    <cfRule type="expression" dxfId="146" priority="12">
      <formula>MOD(ROW(),2)=0</formula>
    </cfRule>
  </conditionalFormatting>
  <conditionalFormatting sqref="H67">
    <cfRule type="expression" dxfId="145" priority="11">
      <formula>MOD(ROW(),2)=0</formula>
    </cfRule>
  </conditionalFormatting>
  <conditionalFormatting sqref="H68">
    <cfRule type="expression" dxfId="144" priority="10">
      <formula>MOD(ROW(),2)=0</formula>
    </cfRule>
  </conditionalFormatting>
  <conditionalFormatting sqref="G53">
    <cfRule type="expression" dxfId="143" priority="9">
      <formula>MOD(ROW(),2)=0</formula>
    </cfRule>
  </conditionalFormatting>
  <conditionalFormatting sqref="I53">
    <cfRule type="expression" dxfId="142" priority="8">
      <formula>MOD(ROW(),2)=0</formula>
    </cfRule>
  </conditionalFormatting>
  <conditionalFormatting sqref="E23">
    <cfRule type="expression" dxfId="141" priority="7">
      <formula>MOD(ROW(),2)=0</formula>
    </cfRule>
  </conditionalFormatting>
  <conditionalFormatting sqref="I23">
    <cfRule type="expression" dxfId="140" priority="6">
      <formula>MOD(ROW(),2)=0</formula>
    </cfRule>
  </conditionalFormatting>
  <conditionalFormatting sqref="C57">
    <cfRule type="expression" dxfId="139" priority="5">
      <formula>MOD(ROW(),2)=0</formula>
    </cfRule>
  </conditionalFormatting>
  <conditionalFormatting sqref="H61">
    <cfRule type="expression" dxfId="138" priority="4">
      <formula>MOD(ROW(),2)=0</formula>
    </cfRule>
  </conditionalFormatting>
  <conditionalFormatting sqref="I61">
    <cfRule type="expression" dxfId="137" priority="3">
      <formula>MOD(ROW(),2)=0</formula>
    </cfRule>
  </conditionalFormatting>
  <conditionalFormatting sqref="F23">
    <cfRule type="expression" dxfId="136" priority="2">
      <formula>MOD(ROW(),2)=0</formula>
    </cfRule>
  </conditionalFormatting>
  <conditionalFormatting sqref="G23">
    <cfRule type="expression" dxfId="135"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zoomScaleNormal="100" workbookViewId="0">
      <selection sqref="A1:F1"/>
    </sheetView>
  </sheetViews>
  <sheetFormatPr baseColWidth="10" defaultRowHeight="12.75"/>
  <cols>
    <col min="1" max="1" width="13.7109375" customWidth="1"/>
    <col min="2" max="6" width="15.42578125" customWidth="1"/>
    <col min="8" max="26" width="1.7109375" customWidth="1"/>
  </cols>
  <sheetData>
    <row r="1" spans="1:7" ht="14.25" customHeight="1">
      <c r="A1" s="245" t="s">
        <v>288</v>
      </c>
      <c r="B1" s="245"/>
      <c r="C1" s="245"/>
      <c r="D1" s="245"/>
      <c r="E1" s="245"/>
      <c r="F1" s="245"/>
    </row>
    <row r="2" spans="1:7" ht="14.25" customHeight="1">
      <c r="A2" s="245" t="s">
        <v>285</v>
      </c>
      <c r="B2" s="245"/>
      <c r="C2" s="245"/>
      <c r="D2" s="245"/>
      <c r="E2" s="245"/>
      <c r="F2" s="245"/>
    </row>
    <row r="3" spans="1:7" ht="14.25" customHeight="1">
      <c r="A3" s="245" t="s">
        <v>311</v>
      </c>
      <c r="B3" s="245"/>
      <c r="C3" s="245"/>
      <c r="D3" s="245"/>
      <c r="E3" s="245"/>
      <c r="F3" s="245"/>
    </row>
    <row r="4" spans="1:7">
      <c r="A4" s="24"/>
      <c r="B4" s="24"/>
      <c r="C4" s="24"/>
      <c r="D4" s="24"/>
      <c r="E4" s="24"/>
      <c r="F4" s="24"/>
    </row>
    <row r="5" spans="1:7" ht="19.899999999999999" customHeight="1">
      <c r="A5" s="249" t="s">
        <v>8</v>
      </c>
      <c r="B5" s="250" t="s">
        <v>52</v>
      </c>
      <c r="C5" s="250" t="s">
        <v>244</v>
      </c>
      <c r="D5" s="250" t="s">
        <v>1</v>
      </c>
      <c r="E5" s="247" t="s">
        <v>154</v>
      </c>
      <c r="F5" s="248"/>
      <c r="G5" s="25"/>
    </row>
    <row r="6" spans="1:7" ht="31.15" customHeight="1">
      <c r="A6" s="249"/>
      <c r="B6" s="250"/>
      <c r="C6" s="250"/>
      <c r="D6" s="250"/>
      <c r="E6" s="86" t="s">
        <v>155</v>
      </c>
      <c r="F6" s="87" t="s">
        <v>243</v>
      </c>
      <c r="G6" s="25"/>
    </row>
    <row r="7" spans="1:7" ht="19.899999999999999" customHeight="1">
      <c r="A7" s="249"/>
      <c r="B7" s="250" t="s">
        <v>153</v>
      </c>
      <c r="C7" s="250"/>
      <c r="D7" s="247" t="s">
        <v>2</v>
      </c>
      <c r="E7" s="247"/>
      <c r="F7" s="248"/>
      <c r="G7" s="26"/>
    </row>
    <row r="8" spans="1:7">
      <c r="A8" s="88"/>
      <c r="B8" s="89"/>
      <c r="C8" s="89"/>
      <c r="D8" s="89"/>
      <c r="E8" s="89"/>
      <c r="F8" s="89"/>
      <c r="G8" s="26"/>
    </row>
    <row r="9" spans="1:7" ht="12.75" customHeight="1">
      <c r="A9" s="90" t="s">
        <v>129</v>
      </c>
      <c r="B9" s="184">
        <v>994</v>
      </c>
      <c r="C9" s="184">
        <v>168055</v>
      </c>
      <c r="D9" s="185">
        <v>3333028</v>
      </c>
      <c r="E9" s="185">
        <v>36130453</v>
      </c>
      <c r="F9" s="185">
        <v>3505371</v>
      </c>
    </row>
    <row r="10" spans="1:7" ht="12.75" customHeight="1">
      <c r="A10" s="91" t="s">
        <v>130</v>
      </c>
      <c r="B10" s="186">
        <v>949</v>
      </c>
      <c r="C10" s="186">
        <v>165053</v>
      </c>
      <c r="D10" s="187">
        <v>3497308</v>
      </c>
      <c r="E10" s="187">
        <v>40624298</v>
      </c>
      <c r="F10" s="187">
        <v>4171708</v>
      </c>
    </row>
    <row r="11" spans="1:7" ht="12.75" customHeight="1">
      <c r="A11" s="90" t="s">
        <v>131</v>
      </c>
      <c r="B11" s="184">
        <v>915</v>
      </c>
      <c r="C11" s="184">
        <v>159383</v>
      </c>
      <c r="D11" s="185">
        <v>3537156</v>
      </c>
      <c r="E11" s="185">
        <v>42761083</v>
      </c>
      <c r="F11" s="185">
        <v>4640896</v>
      </c>
    </row>
    <row r="12" spans="1:7" ht="12.75" customHeight="1">
      <c r="A12" s="91" t="s">
        <v>132</v>
      </c>
      <c r="B12" s="186">
        <v>897</v>
      </c>
      <c r="C12" s="186">
        <v>150824</v>
      </c>
      <c r="D12" s="187">
        <v>3453189</v>
      </c>
      <c r="E12" s="187">
        <v>41480147</v>
      </c>
      <c r="F12" s="187">
        <v>4487638</v>
      </c>
    </row>
    <row r="13" spans="1:7" ht="12.75" customHeight="1">
      <c r="A13" s="90" t="s">
        <v>133</v>
      </c>
      <c r="B13" s="184">
        <v>856</v>
      </c>
      <c r="C13" s="184">
        <v>143372</v>
      </c>
      <c r="D13" s="185">
        <v>3416026</v>
      </c>
      <c r="E13" s="185">
        <v>43002491</v>
      </c>
      <c r="F13" s="185">
        <v>4554739</v>
      </c>
    </row>
    <row r="14" spans="1:7" ht="19.899999999999999" customHeight="1">
      <c r="A14" s="91" t="s">
        <v>134</v>
      </c>
      <c r="B14" s="186">
        <v>819</v>
      </c>
      <c r="C14" s="186">
        <v>139684</v>
      </c>
      <c r="D14" s="187">
        <v>3475589</v>
      </c>
      <c r="E14" s="187">
        <v>46641384</v>
      </c>
      <c r="F14" s="187">
        <v>4617801</v>
      </c>
    </row>
    <row r="15" spans="1:7" ht="12.75" customHeight="1">
      <c r="A15" s="92">
        <v>1986</v>
      </c>
      <c r="B15" s="184">
        <v>800</v>
      </c>
      <c r="C15" s="184">
        <v>138840</v>
      </c>
      <c r="D15" s="185">
        <v>3584630</v>
      </c>
      <c r="E15" s="185">
        <v>35919701</v>
      </c>
      <c r="F15" s="185">
        <v>3882504</v>
      </c>
    </row>
    <row r="16" spans="1:7" ht="12.75" customHeight="1">
      <c r="A16" s="91" t="s">
        <v>135</v>
      </c>
      <c r="B16" s="186">
        <v>775</v>
      </c>
      <c r="C16" s="186">
        <v>136249</v>
      </c>
      <c r="D16" s="187">
        <v>3630495</v>
      </c>
      <c r="E16" s="187">
        <v>35248937</v>
      </c>
      <c r="F16" s="187">
        <v>3794736</v>
      </c>
    </row>
    <row r="17" spans="1:6" ht="12.75" customHeight="1">
      <c r="A17" s="90" t="s">
        <v>136</v>
      </c>
      <c r="B17" s="184">
        <v>764</v>
      </c>
      <c r="C17" s="184">
        <v>134334</v>
      </c>
      <c r="D17" s="185">
        <v>3724510</v>
      </c>
      <c r="E17" s="185">
        <v>33934745</v>
      </c>
      <c r="F17" s="185">
        <v>4036387</v>
      </c>
    </row>
    <row r="18" spans="1:6" ht="12.75" customHeight="1">
      <c r="A18" s="91" t="s">
        <v>137</v>
      </c>
      <c r="B18" s="186">
        <v>765</v>
      </c>
      <c r="C18" s="186">
        <v>134014</v>
      </c>
      <c r="D18" s="187">
        <v>3827627</v>
      </c>
      <c r="E18" s="187">
        <v>40607927</v>
      </c>
      <c r="F18" s="187">
        <v>4484879</v>
      </c>
    </row>
    <row r="19" spans="1:6" ht="19.899999999999999" customHeight="1">
      <c r="A19" s="90" t="s">
        <v>138</v>
      </c>
      <c r="B19" s="184">
        <v>774</v>
      </c>
      <c r="C19" s="184">
        <v>134691</v>
      </c>
      <c r="D19" s="185">
        <v>4038097</v>
      </c>
      <c r="E19" s="185">
        <v>46061323</v>
      </c>
      <c r="F19" s="185">
        <v>5017040</v>
      </c>
    </row>
    <row r="20" spans="1:6" ht="12.75" customHeight="1">
      <c r="A20" s="91" t="s">
        <v>139</v>
      </c>
      <c r="B20" s="186">
        <v>761</v>
      </c>
      <c r="C20" s="186">
        <v>136576</v>
      </c>
      <c r="D20" s="187">
        <v>4349575</v>
      </c>
      <c r="E20" s="187">
        <v>52554706</v>
      </c>
      <c r="F20" s="187">
        <v>5468500</v>
      </c>
    </row>
    <row r="21" spans="1:6" ht="12.75" customHeight="1">
      <c r="A21" s="90" t="s">
        <v>140</v>
      </c>
      <c r="B21" s="184">
        <v>757</v>
      </c>
      <c r="C21" s="184">
        <v>134214</v>
      </c>
      <c r="D21" s="185">
        <v>4512865</v>
      </c>
      <c r="E21" s="185">
        <v>52110282</v>
      </c>
      <c r="F21" s="185">
        <v>5159013</v>
      </c>
    </row>
    <row r="22" spans="1:6" ht="12.75" customHeight="1">
      <c r="A22" s="91" t="s">
        <v>141</v>
      </c>
      <c r="B22" s="186">
        <v>740</v>
      </c>
      <c r="C22" s="186">
        <v>126597</v>
      </c>
      <c r="D22" s="187">
        <v>4408556</v>
      </c>
      <c r="E22" s="187">
        <v>50163524</v>
      </c>
      <c r="F22" s="187">
        <v>5095412</v>
      </c>
    </row>
    <row r="23" spans="1:6" ht="12.75" customHeight="1">
      <c r="A23" s="90" t="s">
        <v>142</v>
      </c>
      <c r="B23" s="184">
        <v>716</v>
      </c>
      <c r="C23" s="184">
        <v>119801</v>
      </c>
      <c r="D23" s="185">
        <v>4345709</v>
      </c>
      <c r="E23" s="185">
        <v>50478760</v>
      </c>
      <c r="F23" s="185">
        <v>5387556</v>
      </c>
    </row>
    <row r="24" spans="1:6" ht="19.899999999999999" customHeight="1">
      <c r="A24" s="91" t="s">
        <v>248</v>
      </c>
      <c r="B24" s="186">
        <v>646</v>
      </c>
      <c r="C24" s="186">
        <v>118464</v>
      </c>
      <c r="D24" s="187">
        <v>4458334</v>
      </c>
      <c r="E24" s="187">
        <v>53278763</v>
      </c>
      <c r="F24" s="187">
        <v>6943144</v>
      </c>
    </row>
    <row r="25" spans="1:6" ht="12.75" customHeight="1">
      <c r="A25" s="90" t="s">
        <v>143</v>
      </c>
      <c r="B25" s="184">
        <v>612</v>
      </c>
      <c r="C25" s="184">
        <v>111544</v>
      </c>
      <c r="D25" s="185">
        <v>4370283</v>
      </c>
      <c r="E25" s="185">
        <v>55371956</v>
      </c>
      <c r="F25" s="185">
        <v>6557769</v>
      </c>
    </row>
    <row r="26" spans="1:6" ht="12.75" customHeight="1">
      <c r="A26" s="91">
        <v>1997</v>
      </c>
      <c r="B26" s="186">
        <v>623</v>
      </c>
      <c r="C26" s="186">
        <v>107253</v>
      </c>
      <c r="D26" s="187">
        <v>4269709</v>
      </c>
      <c r="E26" s="187">
        <v>60710454</v>
      </c>
      <c r="F26" s="187">
        <v>8280764</v>
      </c>
    </row>
    <row r="27" spans="1:6" ht="12.75" customHeight="1">
      <c r="A27" s="92">
        <v>1998</v>
      </c>
      <c r="B27" s="184">
        <v>602</v>
      </c>
      <c r="C27" s="184">
        <v>103463</v>
      </c>
      <c r="D27" s="185">
        <v>4270041</v>
      </c>
      <c r="E27" s="185">
        <v>48430705</v>
      </c>
      <c r="F27" s="185">
        <v>8105464</v>
      </c>
    </row>
    <row r="28" spans="1:6" ht="12.75" customHeight="1">
      <c r="A28" s="91" t="s">
        <v>144</v>
      </c>
      <c r="B28" s="186">
        <v>582</v>
      </c>
      <c r="C28" s="186">
        <v>98926</v>
      </c>
      <c r="D28" s="187">
        <v>4198514</v>
      </c>
      <c r="E28" s="187">
        <v>48190293</v>
      </c>
      <c r="F28" s="187">
        <v>8182730</v>
      </c>
    </row>
    <row r="29" spans="1:6" ht="19.899999999999999" customHeight="1">
      <c r="A29" s="90" t="s">
        <v>145</v>
      </c>
      <c r="B29" s="184">
        <v>592</v>
      </c>
      <c r="C29" s="184">
        <v>98154</v>
      </c>
      <c r="D29" s="185">
        <v>4263113</v>
      </c>
      <c r="E29" s="185">
        <v>56014702</v>
      </c>
      <c r="F29" s="185">
        <v>9569050</v>
      </c>
    </row>
    <row r="30" spans="1:6" ht="12.75" customHeight="1">
      <c r="A30" s="91" t="s">
        <v>146</v>
      </c>
      <c r="B30" s="186">
        <v>570</v>
      </c>
      <c r="C30" s="186">
        <v>100422</v>
      </c>
      <c r="D30" s="187">
        <v>4502203</v>
      </c>
      <c r="E30" s="187">
        <v>67861795</v>
      </c>
      <c r="F30" s="187">
        <v>10464574</v>
      </c>
    </row>
    <row r="31" spans="1:6" ht="12.75" customHeight="1">
      <c r="A31" s="92">
        <v>2002</v>
      </c>
      <c r="B31" s="184">
        <v>566</v>
      </c>
      <c r="C31" s="184">
        <v>100868</v>
      </c>
      <c r="D31" s="185">
        <v>4569123</v>
      </c>
      <c r="E31" s="185">
        <v>66481294</v>
      </c>
      <c r="F31" s="185">
        <v>10788499</v>
      </c>
    </row>
    <row r="32" spans="1:6" ht="12.75" customHeight="1">
      <c r="A32" s="91" t="s">
        <v>147</v>
      </c>
      <c r="B32" s="186">
        <v>531</v>
      </c>
      <c r="C32" s="186">
        <v>97367</v>
      </c>
      <c r="D32" s="187">
        <v>4547688</v>
      </c>
      <c r="E32" s="187">
        <v>69161973</v>
      </c>
      <c r="F32" s="187">
        <v>10230107</v>
      </c>
    </row>
    <row r="33" spans="1:6" ht="12.75" customHeight="1">
      <c r="A33" s="90" t="s">
        <v>148</v>
      </c>
      <c r="B33" s="184">
        <v>535</v>
      </c>
      <c r="C33" s="184">
        <v>94725</v>
      </c>
      <c r="D33" s="185">
        <v>4473541</v>
      </c>
      <c r="E33" s="185">
        <v>64266307</v>
      </c>
      <c r="F33" s="185">
        <v>11851867</v>
      </c>
    </row>
    <row r="34" spans="1:6" ht="19.899999999999999" customHeight="1">
      <c r="A34" s="91">
        <v>2005</v>
      </c>
      <c r="B34" s="186">
        <v>507</v>
      </c>
      <c r="C34" s="186">
        <v>93496</v>
      </c>
      <c r="D34" s="187">
        <v>4527142</v>
      </c>
      <c r="E34" s="187">
        <v>65293897</v>
      </c>
      <c r="F34" s="187">
        <v>12574466</v>
      </c>
    </row>
    <row r="35" spans="1:6" ht="12.75" customHeight="1">
      <c r="A35" s="92">
        <v>2006</v>
      </c>
      <c r="B35" s="184">
        <v>518</v>
      </c>
      <c r="C35" s="184">
        <v>95427</v>
      </c>
      <c r="D35" s="185">
        <v>4619280</v>
      </c>
      <c r="E35" s="185">
        <v>72514648</v>
      </c>
      <c r="F35" s="185">
        <v>15829050</v>
      </c>
    </row>
    <row r="36" spans="1:6" ht="12.75" customHeight="1">
      <c r="A36" s="91">
        <v>2007</v>
      </c>
      <c r="B36" s="186">
        <v>506</v>
      </c>
      <c r="C36" s="186">
        <v>93755</v>
      </c>
      <c r="D36" s="187">
        <v>4657250</v>
      </c>
      <c r="E36" s="187">
        <v>74176770</v>
      </c>
      <c r="F36" s="187">
        <v>17072669</v>
      </c>
    </row>
    <row r="37" spans="1:6" ht="12.75" customHeight="1">
      <c r="A37" s="92">
        <v>2008</v>
      </c>
      <c r="B37" s="184">
        <v>470</v>
      </c>
      <c r="C37" s="184">
        <v>85118</v>
      </c>
      <c r="D37" s="185">
        <v>4303940</v>
      </c>
      <c r="E37" s="185">
        <v>76788139</v>
      </c>
      <c r="F37" s="185">
        <v>18677331</v>
      </c>
    </row>
    <row r="38" spans="1:6" ht="12.75" customHeight="1">
      <c r="A38" s="93" t="s">
        <v>247</v>
      </c>
      <c r="B38" s="186">
        <v>462</v>
      </c>
      <c r="C38" s="186">
        <v>82782</v>
      </c>
      <c r="D38" s="187">
        <v>4292131</v>
      </c>
      <c r="E38" s="187">
        <v>53462495</v>
      </c>
      <c r="F38" s="187">
        <v>15048748</v>
      </c>
    </row>
    <row r="39" spans="1:6" ht="19.899999999999999" customHeight="1">
      <c r="A39" s="92">
        <v>2010</v>
      </c>
      <c r="B39" s="184">
        <v>459</v>
      </c>
      <c r="C39" s="184">
        <v>81089</v>
      </c>
      <c r="D39" s="185">
        <v>4288455.2280000001</v>
      </c>
      <c r="E39" s="185">
        <v>73497409.496000007</v>
      </c>
      <c r="F39" s="185">
        <v>17119030.883000001</v>
      </c>
    </row>
    <row r="40" spans="1:6" ht="12.75" customHeight="1">
      <c r="A40" s="91">
        <v>2011</v>
      </c>
      <c r="B40" s="186">
        <v>461</v>
      </c>
      <c r="C40" s="186">
        <v>83058</v>
      </c>
      <c r="D40" s="187">
        <v>4483103</v>
      </c>
      <c r="E40" s="187">
        <v>85064473</v>
      </c>
      <c r="F40" s="187">
        <v>18748015</v>
      </c>
    </row>
    <row r="41" spans="1:6" ht="12.75" customHeight="1">
      <c r="A41" s="92">
        <v>2012</v>
      </c>
      <c r="B41" s="184">
        <v>449</v>
      </c>
      <c r="C41" s="184">
        <v>83766</v>
      </c>
      <c r="D41" s="185">
        <v>4653116</v>
      </c>
      <c r="E41" s="185">
        <v>88419481</v>
      </c>
      <c r="F41" s="185">
        <v>19537292</v>
      </c>
    </row>
    <row r="42" spans="1:6" ht="12.75" customHeight="1">
      <c r="A42" s="92">
        <v>2013</v>
      </c>
      <c r="B42" s="184">
        <v>445</v>
      </c>
      <c r="C42" s="184">
        <v>84853</v>
      </c>
      <c r="D42" s="185">
        <v>4875294.2</v>
      </c>
      <c r="E42" s="185">
        <v>83060160.429000005</v>
      </c>
      <c r="F42" s="185">
        <v>19797360.276000001</v>
      </c>
    </row>
    <row r="43" spans="1:6" ht="12.75" customHeight="1">
      <c r="A43" s="92">
        <v>2014</v>
      </c>
      <c r="B43" s="184">
        <v>445</v>
      </c>
      <c r="C43" s="184">
        <v>86087</v>
      </c>
      <c r="D43" s="185">
        <v>5076617.6900000004</v>
      </c>
      <c r="E43" s="185">
        <v>79153644.015000001</v>
      </c>
      <c r="F43" s="185">
        <v>20348090.798999999</v>
      </c>
    </row>
    <row r="44" spans="1:6" ht="19.5" customHeight="1">
      <c r="A44" s="92">
        <v>2015</v>
      </c>
      <c r="B44" s="184">
        <v>433</v>
      </c>
      <c r="C44" s="184">
        <v>85622</v>
      </c>
      <c r="D44" s="185">
        <v>5219781</v>
      </c>
      <c r="E44" s="185">
        <v>70914314</v>
      </c>
      <c r="F44" s="185">
        <v>20863282</v>
      </c>
    </row>
    <row r="45" spans="1:6" ht="13.7" customHeight="1">
      <c r="A45" s="200">
        <v>2016</v>
      </c>
      <c r="B45" s="184">
        <v>444</v>
      </c>
      <c r="C45" s="184">
        <v>85986</v>
      </c>
      <c r="D45" s="185">
        <v>5295783</v>
      </c>
      <c r="E45" s="185">
        <v>68567351</v>
      </c>
      <c r="F45" s="185">
        <v>21526064</v>
      </c>
    </row>
    <row r="46" spans="1:6">
      <c r="A46" s="151"/>
      <c r="B46" s="152"/>
      <c r="C46" s="152"/>
      <c r="D46" s="152"/>
      <c r="E46" s="152"/>
      <c r="F46" s="152"/>
    </row>
    <row r="47" spans="1:6" s="101" customFormat="1" ht="13.7" customHeight="1">
      <c r="A47" s="246" t="s">
        <v>245</v>
      </c>
      <c r="B47" s="246"/>
      <c r="C47" s="246"/>
      <c r="D47" s="246"/>
      <c r="E47" s="246"/>
      <c r="F47" s="246"/>
    </row>
    <row r="48" spans="1:6">
      <c r="A48" s="102" t="s">
        <v>246</v>
      </c>
      <c r="B48" s="102"/>
      <c r="C48" s="102"/>
      <c r="D48" s="102"/>
      <c r="E48" s="102"/>
      <c r="F48" s="102"/>
    </row>
    <row r="49" spans="1:6">
      <c r="A49" s="102" t="s">
        <v>251</v>
      </c>
      <c r="B49" s="102"/>
      <c r="C49" s="102"/>
      <c r="D49" s="102"/>
      <c r="E49" s="102"/>
      <c r="F49" s="102"/>
    </row>
  </sheetData>
  <mergeCells count="11">
    <mergeCell ref="A1:F1"/>
    <mergeCell ref="A2:F2"/>
    <mergeCell ref="A3:F3"/>
    <mergeCell ref="A47:F47"/>
    <mergeCell ref="D7:F7"/>
    <mergeCell ref="A5:A7"/>
    <mergeCell ref="B5:B6"/>
    <mergeCell ref="C5:C6"/>
    <mergeCell ref="D5:D6"/>
    <mergeCell ref="E5:F5"/>
    <mergeCell ref="B7:C7"/>
  </mergeCells>
  <conditionalFormatting sqref="A10:F10 B12:F12 A36:F36 A41:A45 B14:F45">
    <cfRule type="expression" dxfId="134" priority="205">
      <formula>"""=Rest(ZEILE();2)=1"""</formula>
    </cfRule>
    <cfRule type="expression" dxfId="133" priority="206">
      <formula>"""=Rest(Zeile();2)=1"""</formula>
    </cfRule>
  </conditionalFormatting>
  <conditionalFormatting sqref="A12">
    <cfRule type="expression" dxfId="132" priority="171">
      <formula>"""=Rest(ZEILE();2)=1"""</formula>
    </cfRule>
    <cfRule type="expression" dxfId="131" priority="172">
      <formula>"""=Rest(Zeile();2)=1"""</formula>
    </cfRule>
  </conditionalFormatting>
  <conditionalFormatting sqref="A14">
    <cfRule type="expression" dxfId="130" priority="169">
      <formula>"""=Rest(ZEILE();2)=1"""</formula>
    </cfRule>
    <cfRule type="expression" dxfId="129" priority="170">
      <formula>"""=Rest(Zeile();2)=1"""</formula>
    </cfRule>
  </conditionalFormatting>
  <conditionalFormatting sqref="A16">
    <cfRule type="expression" dxfId="128" priority="167">
      <formula>"""=Rest(ZEILE();2)=1"""</formula>
    </cfRule>
    <cfRule type="expression" dxfId="127" priority="168">
      <formula>"""=Rest(Zeile();2)=1"""</formula>
    </cfRule>
  </conditionalFormatting>
  <conditionalFormatting sqref="A18">
    <cfRule type="expression" dxfId="126" priority="165">
      <formula>"""=Rest(ZEILE();2)=1"""</formula>
    </cfRule>
    <cfRule type="expression" dxfId="125" priority="166">
      <formula>"""=Rest(Zeile();2)=1"""</formula>
    </cfRule>
  </conditionalFormatting>
  <conditionalFormatting sqref="A20">
    <cfRule type="expression" dxfId="124" priority="163">
      <formula>"""=Rest(ZEILE();2)=1"""</formula>
    </cfRule>
    <cfRule type="expression" dxfId="123" priority="164">
      <formula>"""=Rest(Zeile();2)=1"""</formula>
    </cfRule>
  </conditionalFormatting>
  <conditionalFormatting sqref="A22">
    <cfRule type="expression" dxfId="122" priority="161">
      <formula>"""=Rest(ZEILE();2)=1"""</formula>
    </cfRule>
    <cfRule type="expression" dxfId="121" priority="162">
      <formula>"""=Rest(Zeile();2)=1"""</formula>
    </cfRule>
  </conditionalFormatting>
  <conditionalFormatting sqref="A28">
    <cfRule type="expression" dxfId="120" priority="155">
      <formula>"""=Rest(ZEILE();2)=1"""</formula>
    </cfRule>
    <cfRule type="expression" dxfId="119" priority="156">
      <formula>"""=Rest(Zeile();2)=1"""</formula>
    </cfRule>
  </conditionalFormatting>
  <conditionalFormatting sqref="A30">
    <cfRule type="expression" dxfId="118" priority="153">
      <formula>"""=Rest(ZEILE();2)=1"""</formula>
    </cfRule>
    <cfRule type="expression" dxfId="117" priority="154">
      <formula>"""=Rest(Zeile();2)=1"""</formula>
    </cfRule>
  </conditionalFormatting>
  <conditionalFormatting sqref="A32">
    <cfRule type="expression" dxfId="116" priority="151">
      <formula>"""=Rest(ZEILE();2)=1"""</formula>
    </cfRule>
    <cfRule type="expression" dxfId="115" priority="152">
      <formula>"""=Rest(Zeile();2)=1"""</formula>
    </cfRule>
  </conditionalFormatting>
  <conditionalFormatting sqref="A38">
    <cfRule type="expression" dxfId="114" priority="145">
      <formula>"""=Rest(ZEILE();2)=1"""</formula>
    </cfRule>
    <cfRule type="expression" dxfId="113" priority="146">
      <formula>"""=Rest(Zeile();2)=1"""</formula>
    </cfRule>
  </conditionalFormatting>
  <conditionalFormatting sqref="A24">
    <cfRule type="expression" dxfId="112" priority="139">
      <formula>"""=Rest(ZEILE();2)=1"""</formula>
    </cfRule>
    <cfRule type="expression" dxfId="111" priority="140">
      <formula>"""=Rest(Zeile();2)=1"""</formula>
    </cfRule>
  </conditionalFormatting>
  <conditionalFormatting sqref="A26">
    <cfRule type="expression" dxfId="110" priority="137">
      <formula>"""=Rest(ZEILE();2)=1"""</formula>
    </cfRule>
    <cfRule type="expression" dxfId="109" priority="138">
      <formula>"""=Rest(Zeile();2)=1"""</formula>
    </cfRule>
  </conditionalFormatting>
  <conditionalFormatting sqref="A34">
    <cfRule type="expression" dxfId="108" priority="127">
      <formula>"""=Rest(ZEILE();2)=1"""</formula>
    </cfRule>
    <cfRule type="expression" dxfId="107" priority="128">
      <formula>"""=Rest(Zeile();2)=1"""</formula>
    </cfRule>
  </conditionalFormatting>
  <conditionalFormatting sqref="A36">
    <cfRule type="expression" dxfId="106" priority="125">
      <formula>"""=Rest(ZEILE();2)=1"""</formula>
    </cfRule>
    <cfRule type="expression" dxfId="105" priority="126">
      <formula>"""=Rest(Zeile();2)=1"""</formula>
    </cfRule>
  </conditionalFormatting>
  <conditionalFormatting sqref="A40">
    <cfRule type="expression" dxfId="104" priority="123">
      <formula>"""=Rest(ZEILE();2)=1"""</formula>
    </cfRule>
    <cfRule type="expression" dxfId="103" priority="124">
      <formula>"""=Rest(Zeile();2)=1"""</formula>
    </cfRule>
  </conditionalFormatting>
  <conditionalFormatting sqref="A9:A10 A10:F45">
    <cfRule type="expression" dxfId="102" priority="122">
      <formula>"""REST(ZEILE);2=1"""</formula>
    </cfRule>
  </conditionalFormatting>
  <conditionalFormatting sqref="B9:F9">
    <cfRule type="expression" dxfId="101" priority="115">
      <formula>"""=Rest(ZEILE();2)=1"""</formula>
    </cfRule>
    <cfRule type="expression" dxfId="100" priority="116">
      <formula>"""=Rest(Zeile();2)=1"""</formula>
    </cfRule>
  </conditionalFormatting>
  <conditionalFormatting sqref="B9:F9">
    <cfRule type="expression" dxfId="99" priority="114">
      <formula>"""REST(ZEILE);2=1"""</formula>
    </cfRule>
  </conditionalFormatting>
  <conditionalFormatting sqref="A9">
    <cfRule type="expression" dxfId="98" priority="112">
      <formula>"""=Rest(ZEILE();2)=1"""</formula>
    </cfRule>
    <cfRule type="expression" dxfId="97" priority="113">
      <formula>"""=Rest(Zeile();2)=1"""</formula>
    </cfRule>
  </conditionalFormatting>
  <conditionalFormatting sqref="A11">
    <cfRule type="expression" dxfId="96" priority="110">
      <formula>"""=Rest(ZEILE();2)=1"""</formula>
    </cfRule>
    <cfRule type="expression" dxfId="95" priority="111">
      <formula>"""=Rest(Zeile();2)=1"""</formula>
    </cfRule>
  </conditionalFormatting>
  <conditionalFormatting sqref="B11:F11">
    <cfRule type="expression" dxfId="94" priority="108">
      <formula>"""=Rest(ZEILE();2)=1"""</formula>
    </cfRule>
    <cfRule type="expression" dxfId="93" priority="109">
      <formula>"""=Rest(Zeile();2)=1"""</formula>
    </cfRule>
  </conditionalFormatting>
  <conditionalFormatting sqref="A13">
    <cfRule type="expression" dxfId="92" priority="106">
      <formula>"""=Rest(ZEILE();2)=1"""</formula>
    </cfRule>
    <cfRule type="expression" dxfId="91" priority="107">
      <formula>"""=Rest(Zeile();2)=1"""</formula>
    </cfRule>
  </conditionalFormatting>
  <conditionalFormatting sqref="A15">
    <cfRule type="expression" dxfId="90" priority="104">
      <formula>"""=Rest(ZEILE();2)=1"""</formula>
    </cfRule>
    <cfRule type="expression" dxfId="89" priority="105">
      <formula>"""=Rest(Zeile();2)=1"""</formula>
    </cfRule>
  </conditionalFormatting>
  <conditionalFormatting sqref="A17">
    <cfRule type="expression" dxfId="88" priority="102">
      <formula>"""=Rest(ZEILE();2)=1"""</formula>
    </cfRule>
    <cfRule type="expression" dxfId="87" priority="103">
      <formula>"""=Rest(Zeile();2)=1"""</formula>
    </cfRule>
  </conditionalFormatting>
  <conditionalFormatting sqref="A19">
    <cfRule type="expression" dxfId="86" priority="100">
      <formula>"""=Rest(ZEILE();2)=1"""</formula>
    </cfRule>
    <cfRule type="expression" dxfId="85" priority="101">
      <formula>"""=Rest(Zeile();2)=1"""</formula>
    </cfRule>
  </conditionalFormatting>
  <conditionalFormatting sqref="A21">
    <cfRule type="expression" dxfId="84" priority="98">
      <formula>"""=Rest(ZEILE();2)=1"""</formula>
    </cfRule>
    <cfRule type="expression" dxfId="83" priority="99">
      <formula>"""=Rest(Zeile();2)=1"""</formula>
    </cfRule>
  </conditionalFormatting>
  <conditionalFormatting sqref="A23">
    <cfRule type="expression" dxfId="82" priority="96">
      <formula>"""=Rest(ZEILE();2)=1"""</formula>
    </cfRule>
    <cfRule type="expression" dxfId="81" priority="97">
      <formula>"""=Rest(Zeile();2)=1"""</formula>
    </cfRule>
  </conditionalFormatting>
  <conditionalFormatting sqref="A25">
    <cfRule type="expression" dxfId="80" priority="94">
      <formula>"""=Rest(ZEILE();2)=1"""</formula>
    </cfRule>
    <cfRule type="expression" dxfId="79" priority="95">
      <formula>"""=Rest(Zeile();2)=1"""</formula>
    </cfRule>
  </conditionalFormatting>
  <conditionalFormatting sqref="A27">
    <cfRule type="expression" dxfId="78" priority="92">
      <formula>"""=Rest(ZEILE();2)=1"""</formula>
    </cfRule>
    <cfRule type="expression" dxfId="77" priority="93">
      <formula>"""=Rest(Zeile();2)=1"""</formula>
    </cfRule>
  </conditionalFormatting>
  <conditionalFormatting sqref="A29">
    <cfRule type="expression" dxfId="76" priority="90">
      <formula>"""=Rest(ZEILE();2)=1"""</formula>
    </cfRule>
    <cfRule type="expression" dxfId="75" priority="91">
      <formula>"""=Rest(Zeile();2)=1"""</formula>
    </cfRule>
  </conditionalFormatting>
  <conditionalFormatting sqref="A31">
    <cfRule type="expression" dxfId="74" priority="88">
      <formula>"""=Rest(ZEILE();2)=1"""</formula>
    </cfRule>
    <cfRule type="expression" dxfId="73" priority="89">
      <formula>"""=Rest(Zeile();2)=1"""</formula>
    </cfRule>
  </conditionalFormatting>
  <conditionalFormatting sqref="A33">
    <cfRule type="expression" dxfId="72" priority="86">
      <formula>"""=Rest(ZEILE();2)=1"""</formula>
    </cfRule>
    <cfRule type="expression" dxfId="71" priority="87">
      <formula>"""=Rest(Zeile();2)=1"""</formula>
    </cfRule>
  </conditionalFormatting>
  <conditionalFormatting sqref="A35">
    <cfRule type="expression" dxfId="70" priority="84">
      <formula>"""=Rest(ZEILE();2)=1"""</formula>
    </cfRule>
    <cfRule type="expression" dxfId="69" priority="85">
      <formula>"""=Rest(Zeile();2)=1"""</formula>
    </cfRule>
  </conditionalFormatting>
  <conditionalFormatting sqref="A37">
    <cfRule type="expression" dxfId="68" priority="82">
      <formula>"""=Rest(ZEILE();2)=1"""</formula>
    </cfRule>
    <cfRule type="expression" dxfId="67" priority="83">
      <formula>"""=Rest(Zeile();2)=1"""</formula>
    </cfRule>
  </conditionalFormatting>
  <conditionalFormatting sqref="A39">
    <cfRule type="expression" dxfId="66" priority="80">
      <formula>"""=Rest(ZEILE();2)=1"""</formula>
    </cfRule>
    <cfRule type="expression" dxfId="65" priority="81">
      <formula>"""=Rest(Zeile();2)=1"""</formula>
    </cfRule>
  </conditionalFormatting>
  <conditionalFormatting sqref="B13:F13">
    <cfRule type="expression" dxfId="64" priority="76">
      <formula>"""=Rest(ZEILE();2)=1"""</formula>
    </cfRule>
    <cfRule type="expression" dxfId="63" priority="77">
      <formula>"""=Rest(Zeile();2)=1"""</formula>
    </cfRule>
  </conditionalFormatting>
  <conditionalFormatting sqref="A36:F36">
    <cfRule type="expression" dxfId="62" priority="74">
      <formula>"""=Rest(ZEILE();2)=1"""</formula>
    </cfRule>
    <cfRule type="expression" dxfId="61" priority="75">
      <formula>"""=Rest(Zeile();2)=1"""</formula>
    </cfRule>
  </conditionalFormatting>
  <conditionalFormatting sqref="B38">
    <cfRule type="expression" dxfId="60" priority="72">
      <formula>"""=Rest(ZEILE();2)=1"""</formula>
    </cfRule>
    <cfRule type="expression" dxfId="59" priority="73">
      <formula>"""=Rest(Zeile();2)=1"""</formula>
    </cfRule>
  </conditionalFormatting>
  <conditionalFormatting sqref="B40">
    <cfRule type="expression" dxfId="58" priority="70">
      <formula>"""=Rest(ZEILE();2)=1"""</formula>
    </cfRule>
    <cfRule type="expression" dxfId="57" priority="71">
      <formula>"""=Rest(Zeile();2)=1"""</formula>
    </cfRule>
  </conditionalFormatting>
  <conditionalFormatting sqref="A36">
    <cfRule type="expression" dxfId="56" priority="68">
      <formula>"""=Rest(ZEILE();2)=1"""</formula>
    </cfRule>
    <cfRule type="expression" dxfId="55" priority="69">
      <formula>"""=Rest(Zeile();2)=1"""</formula>
    </cfRule>
  </conditionalFormatting>
  <conditionalFormatting sqref="A31">
    <cfRule type="expression" dxfId="54" priority="66">
      <formula>"""=Rest(ZEILE();2)=1"""</formula>
    </cfRule>
    <cfRule type="expression" dxfId="53" priority="67">
      <formula>"""=Rest(Zeile();2)=1"""</formula>
    </cfRule>
  </conditionalFormatting>
  <conditionalFormatting sqref="A35">
    <cfRule type="expression" dxfId="52" priority="64">
      <formula>"""=Rest(ZEILE();2)=1"""</formula>
    </cfRule>
    <cfRule type="expression" dxfId="51" priority="65">
      <formula>"""=Rest(Zeile();2)=1"""</formula>
    </cfRule>
  </conditionalFormatting>
  <conditionalFormatting sqref="A35">
    <cfRule type="expression" dxfId="50" priority="62">
      <formula>"""=Rest(ZEILE();2)=1"""</formula>
    </cfRule>
    <cfRule type="expression" dxfId="49" priority="63">
      <formula>"""=Rest(Zeile();2)=1"""</formula>
    </cfRule>
  </conditionalFormatting>
  <conditionalFormatting sqref="A37">
    <cfRule type="expression" dxfId="48" priority="60">
      <formula>"""=Rest(ZEILE();2)=1"""</formula>
    </cfRule>
    <cfRule type="expression" dxfId="47" priority="61">
      <formula>"""=Rest(Zeile();2)=1"""</formula>
    </cfRule>
  </conditionalFormatting>
  <conditionalFormatting sqref="A37">
    <cfRule type="expression" dxfId="46" priority="58">
      <formula>"""=Rest(ZEILE();2)=1"""</formula>
    </cfRule>
    <cfRule type="expression" dxfId="45" priority="59">
      <formula>"""=Rest(Zeile();2)=1"""</formula>
    </cfRule>
  </conditionalFormatting>
  <conditionalFormatting sqref="A37">
    <cfRule type="expression" dxfId="44" priority="56">
      <formula>"""=Rest(ZEILE();2)=1"""</formula>
    </cfRule>
    <cfRule type="expression" dxfId="43" priority="57">
      <formula>"""=Rest(Zeile();2)=1"""</formula>
    </cfRule>
  </conditionalFormatting>
  <conditionalFormatting sqref="A39">
    <cfRule type="expression" dxfId="42" priority="54">
      <formula>"""=Rest(ZEILE();2)=1"""</formula>
    </cfRule>
    <cfRule type="expression" dxfId="41" priority="55">
      <formula>"""=Rest(Zeile();2)=1"""</formula>
    </cfRule>
  </conditionalFormatting>
  <conditionalFormatting sqref="A39">
    <cfRule type="expression" dxfId="40" priority="52">
      <formula>"""=Rest(ZEILE();2)=1"""</formula>
    </cfRule>
    <cfRule type="expression" dxfId="39" priority="53">
      <formula>"""=Rest(Zeile();2)=1"""</formula>
    </cfRule>
  </conditionalFormatting>
  <conditionalFormatting sqref="A39">
    <cfRule type="expression" dxfId="38" priority="50">
      <formula>"""=Rest(ZEILE();2)=1"""</formula>
    </cfRule>
    <cfRule type="expression" dxfId="37" priority="51">
      <formula>"""=Rest(Zeile();2)=1"""</formula>
    </cfRule>
  </conditionalFormatting>
  <conditionalFormatting sqref="A39">
    <cfRule type="expression" dxfId="36" priority="48">
      <formula>"""=Rest(ZEILE();2)=1"""</formula>
    </cfRule>
    <cfRule type="expression" dxfId="35" priority="49">
      <formula>"""=Rest(Zeile();2)=1"""</formula>
    </cfRule>
  </conditionalFormatting>
  <conditionalFormatting sqref="A27">
    <cfRule type="expression" dxfId="34" priority="36">
      <formula>"""=Rest(ZEILE();2)=1"""</formula>
    </cfRule>
    <cfRule type="expression" dxfId="33" priority="37">
      <formula>"""=Rest(Zeile();2)=1"""</formula>
    </cfRule>
  </conditionalFormatting>
  <conditionalFormatting sqref="A27">
    <cfRule type="expression" dxfId="32" priority="34">
      <formula>"""=Rest(ZEILE();2)=1"""</formula>
    </cfRule>
    <cfRule type="expression" dxfId="31" priority="35">
      <formula>"""=Rest(Zeile();2)=1"""</formula>
    </cfRule>
  </conditionalFormatting>
  <conditionalFormatting sqref="A27">
    <cfRule type="expression" dxfId="30" priority="32">
      <formula>"""=Rest(ZEILE();2)=1"""</formula>
    </cfRule>
    <cfRule type="expression" dxfId="29" priority="33">
      <formula>"""=Rest(Zeile();2)=1"""</formula>
    </cfRule>
  </conditionalFormatting>
  <conditionalFormatting sqref="A27">
    <cfRule type="expression" dxfId="28" priority="30">
      <formula>"""=Rest(ZEILE();2)=1"""</formula>
    </cfRule>
    <cfRule type="expression" dxfId="27" priority="31">
      <formula>"""=Rest(Zeile();2)=1"""</formula>
    </cfRule>
  </conditionalFormatting>
  <conditionalFormatting sqref="A27">
    <cfRule type="expression" dxfId="26" priority="28">
      <formula>"""=Rest(ZEILE();2)=1"""</formula>
    </cfRule>
    <cfRule type="expression" dxfId="25" priority="29">
      <formula>"""=Rest(Zeile();2)=1"""</formula>
    </cfRule>
  </conditionalFormatting>
  <conditionalFormatting sqref="A27">
    <cfRule type="expression" dxfId="24" priority="26">
      <formula>"""=Rest(ZEILE();2)=1"""</formula>
    </cfRule>
    <cfRule type="expression" dxfId="23" priority="27">
      <formula>"""=Rest(Zeile();2)=1"""</formula>
    </cfRule>
  </conditionalFormatting>
  <conditionalFormatting sqref="A15">
    <cfRule type="expression" dxfId="22" priority="24">
      <formula>"""=Rest(ZEILE();2)=1"""</formula>
    </cfRule>
    <cfRule type="expression" dxfId="21" priority="25">
      <formula>"""=Rest(Zeile();2)=1"""</formula>
    </cfRule>
  </conditionalFormatting>
  <conditionalFormatting sqref="A15">
    <cfRule type="expression" dxfId="20" priority="22">
      <formula>"""=Rest(ZEILE();2)=1"""</formula>
    </cfRule>
    <cfRule type="expression" dxfId="19" priority="23">
      <formula>"""=Rest(Zeile();2)=1"""</formula>
    </cfRule>
  </conditionalFormatting>
  <conditionalFormatting sqref="A15">
    <cfRule type="expression" dxfId="18" priority="20">
      <formula>"""=Rest(ZEILE();2)=1"""</formula>
    </cfRule>
    <cfRule type="expression" dxfId="17" priority="21">
      <formula>"""=Rest(Zeile();2)=1"""</formula>
    </cfRule>
  </conditionalFormatting>
  <conditionalFormatting sqref="A15">
    <cfRule type="expression" dxfId="16" priority="18">
      <formula>"""=Rest(ZEILE();2)=1"""</formula>
    </cfRule>
    <cfRule type="expression" dxfId="15" priority="19">
      <formula>"""=Rest(Zeile();2)=1"""</formula>
    </cfRule>
  </conditionalFormatting>
  <conditionalFormatting sqref="A15">
    <cfRule type="expression" dxfId="14" priority="16">
      <formula>"""=Rest(ZEILE();2)=1"""</formula>
    </cfRule>
    <cfRule type="expression" dxfId="13" priority="17">
      <formula>"""=Rest(Zeile();2)=1"""</formula>
    </cfRule>
  </conditionalFormatting>
  <conditionalFormatting sqref="A15">
    <cfRule type="expression" dxfId="12" priority="14">
      <formula>"""=Rest(ZEILE();2)=1"""</formula>
    </cfRule>
    <cfRule type="expression" dxfId="11" priority="15">
      <formula>"""=Rest(Zeile();2)=1"""</formula>
    </cfRule>
  </conditionalFormatting>
  <conditionalFormatting sqref="A15">
    <cfRule type="expression" dxfId="10" priority="12">
      <formula>"""=Rest(ZEILE();2)=1"""</formula>
    </cfRule>
    <cfRule type="expression" dxfId="9" priority="13">
      <formula>"""=Rest(Zeile();2)=1"""</formula>
    </cfRule>
  </conditionalFormatting>
  <conditionalFormatting sqref="A8:F45">
    <cfRule type="expression" dxfId="8" priority="1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L33"/>
  <sheetViews>
    <sheetView zoomScaleNormal="100" workbookViewId="0">
      <selection activeCell="A2" sqref="A2:F2"/>
    </sheetView>
  </sheetViews>
  <sheetFormatPr baseColWidth="10" defaultColWidth="11.28515625" defaultRowHeight="12.75"/>
  <cols>
    <col min="1" max="1" width="14.7109375" style="119" customWidth="1"/>
    <col min="2" max="6" width="15.42578125" style="119" customWidth="1"/>
    <col min="7" max="7" width="11.28515625" style="119"/>
    <col min="8" max="11" width="1.7109375" style="119" customWidth="1"/>
    <col min="12" max="12" width="8.7109375" style="119" hidden="1" customWidth="1"/>
    <col min="13" max="26" width="1.7109375" style="119" customWidth="1"/>
    <col min="27" max="16384" width="11.28515625" style="119"/>
  </cols>
  <sheetData>
    <row r="1" spans="1:12">
      <c r="A1" s="253" t="s">
        <v>255</v>
      </c>
      <c r="B1" s="253"/>
      <c r="C1" s="253"/>
      <c r="D1" s="253"/>
      <c r="E1" s="253"/>
      <c r="F1" s="253"/>
    </row>
    <row r="2" spans="1:12" ht="13.15" customHeight="1">
      <c r="A2" s="254" t="s">
        <v>317</v>
      </c>
      <c r="B2" s="254"/>
      <c r="C2" s="254"/>
      <c r="D2" s="254"/>
      <c r="E2" s="254"/>
      <c r="F2" s="254"/>
    </row>
    <row r="3" spans="1:12">
      <c r="A3" s="254" t="s">
        <v>256</v>
      </c>
      <c r="B3" s="254"/>
      <c r="C3" s="254"/>
      <c r="D3" s="254"/>
      <c r="E3" s="254"/>
      <c r="F3" s="254"/>
    </row>
    <row r="4" spans="1:12">
      <c r="A4" s="255"/>
      <c r="B4" s="255"/>
      <c r="C4" s="255"/>
      <c r="D4" s="255"/>
      <c r="E4" s="255"/>
    </row>
    <row r="5" spans="1:12" ht="18.600000000000001" customHeight="1">
      <c r="A5" s="256" t="s">
        <v>8</v>
      </c>
      <c r="B5" s="257" t="s">
        <v>52</v>
      </c>
      <c r="C5" s="257" t="s">
        <v>149</v>
      </c>
      <c r="D5" s="257" t="s">
        <v>1</v>
      </c>
      <c r="E5" s="251" t="s">
        <v>53</v>
      </c>
      <c r="F5" s="258"/>
      <c r="G5" s="121"/>
    </row>
    <row r="6" spans="1:12" ht="28.35" customHeight="1">
      <c r="A6" s="256"/>
      <c r="B6" s="257"/>
      <c r="C6" s="257"/>
      <c r="D6" s="257"/>
      <c r="E6" s="117" t="s">
        <v>155</v>
      </c>
      <c r="F6" s="120" t="s">
        <v>257</v>
      </c>
      <c r="G6" s="121"/>
    </row>
    <row r="7" spans="1:12" ht="18.600000000000001" customHeight="1">
      <c r="A7" s="256"/>
      <c r="B7" s="259" t="s">
        <v>258</v>
      </c>
      <c r="C7" s="259"/>
      <c r="D7" s="251" t="s">
        <v>2</v>
      </c>
      <c r="E7" s="251"/>
      <c r="F7" s="118" t="s">
        <v>2</v>
      </c>
      <c r="G7" s="121"/>
    </row>
    <row r="8" spans="1:12" ht="13.5">
      <c r="A8" s="122">
        <v>1996</v>
      </c>
      <c r="B8" s="188">
        <v>612</v>
      </c>
      <c r="C8" s="188">
        <v>111544</v>
      </c>
      <c r="D8" s="188">
        <v>4370283</v>
      </c>
      <c r="E8" s="188">
        <v>55371956</v>
      </c>
      <c r="F8" s="188">
        <v>6557769</v>
      </c>
      <c r="L8" s="119">
        <v>1995</v>
      </c>
    </row>
    <row r="9" spans="1:12" ht="13.5">
      <c r="A9" s="138">
        <v>1997</v>
      </c>
      <c r="B9" s="189">
        <v>623</v>
      </c>
      <c r="C9" s="189">
        <v>107253</v>
      </c>
      <c r="D9" s="189">
        <v>4269709</v>
      </c>
      <c r="E9" s="189">
        <v>60710454</v>
      </c>
      <c r="F9" s="189">
        <v>8280764</v>
      </c>
      <c r="L9" s="119">
        <v>1996</v>
      </c>
    </row>
    <row r="10" spans="1:12" ht="13.5">
      <c r="A10" s="122">
        <v>1998</v>
      </c>
      <c r="B10" s="188">
        <v>602</v>
      </c>
      <c r="C10" s="188">
        <v>103463</v>
      </c>
      <c r="D10" s="188">
        <v>4270041</v>
      </c>
      <c r="E10" s="188">
        <v>48430705</v>
      </c>
      <c r="F10" s="188">
        <v>8105464</v>
      </c>
      <c r="L10" s="119">
        <v>1997</v>
      </c>
    </row>
    <row r="11" spans="1:12" ht="13.5">
      <c r="A11" s="138">
        <v>1999</v>
      </c>
      <c r="B11" s="189">
        <v>582</v>
      </c>
      <c r="C11" s="189">
        <v>98926</v>
      </c>
      <c r="D11" s="189">
        <v>4198514</v>
      </c>
      <c r="E11" s="189">
        <v>48190293</v>
      </c>
      <c r="F11" s="189">
        <v>8182730</v>
      </c>
      <c r="L11" s="119">
        <v>1998</v>
      </c>
    </row>
    <row r="12" spans="1:12" ht="13.5">
      <c r="A12" s="122">
        <v>2000</v>
      </c>
      <c r="B12" s="188">
        <v>592</v>
      </c>
      <c r="C12" s="188">
        <v>98154</v>
      </c>
      <c r="D12" s="188">
        <v>4263113</v>
      </c>
      <c r="E12" s="188">
        <v>56014702</v>
      </c>
      <c r="F12" s="188">
        <v>9569050</v>
      </c>
      <c r="L12" s="119">
        <v>1999</v>
      </c>
    </row>
    <row r="13" spans="1:12" ht="18.600000000000001" customHeight="1">
      <c r="A13" s="138">
        <v>2001</v>
      </c>
      <c r="B13" s="189">
        <v>570</v>
      </c>
      <c r="C13" s="189">
        <v>100422</v>
      </c>
      <c r="D13" s="189">
        <v>4502203</v>
      </c>
      <c r="E13" s="189">
        <v>67861795</v>
      </c>
      <c r="F13" s="189">
        <v>10464574</v>
      </c>
      <c r="L13" s="119">
        <v>2000</v>
      </c>
    </row>
    <row r="14" spans="1:12" ht="13.5">
      <c r="A14" s="122">
        <v>2002</v>
      </c>
      <c r="B14" s="188">
        <v>566</v>
      </c>
      <c r="C14" s="188">
        <v>100868</v>
      </c>
      <c r="D14" s="188">
        <v>4569123</v>
      </c>
      <c r="E14" s="188">
        <v>66481294</v>
      </c>
      <c r="F14" s="188">
        <v>10788499</v>
      </c>
      <c r="L14" s="119">
        <v>2001</v>
      </c>
    </row>
    <row r="15" spans="1:12" ht="13.5">
      <c r="A15" s="138">
        <v>2003</v>
      </c>
      <c r="B15" s="189">
        <v>531</v>
      </c>
      <c r="C15" s="189">
        <v>97367</v>
      </c>
      <c r="D15" s="189">
        <v>4547688</v>
      </c>
      <c r="E15" s="189">
        <v>69161973</v>
      </c>
      <c r="F15" s="189">
        <v>10230107</v>
      </c>
      <c r="L15" s="119">
        <v>2002</v>
      </c>
    </row>
    <row r="16" spans="1:12" ht="13.5">
      <c r="A16" s="122">
        <v>2004</v>
      </c>
      <c r="B16" s="188">
        <v>535</v>
      </c>
      <c r="C16" s="188">
        <v>94725</v>
      </c>
      <c r="D16" s="188">
        <v>4473541</v>
      </c>
      <c r="E16" s="188">
        <v>64266307</v>
      </c>
      <c r="F16" s="188">
        <v>11851867</v>
      </c>
      <c r="L16" s="119">
        <v>2003</v>
      </c>
    </row>
    <row r="17" spans="1:12" ht="13.5">
      <c r="A17" s="138">
        <v>2005</v>
      </c>
      <c r="B17" s="189">
        <v>507</v>
      </c>
      <c r="C17" s="189">
        <v>93496</v>
      </c>
      <c r="D17" s="189">
        <v>4527142</v>
      </c>
      <c r="E17" s="189">
        <v>65293897</v>
      </c>
      <c r="F17" s="189">
        <v>12574466</v>
      </c>
      <c r="L17" s="119">
        <v>2004</v>
      </c>
    </row>
    <row r="18" spans="1:12" ht="18.600000000000001" customHeight="1">
      <c r="A18" s="139">
        <v>2006</v>
      </c>
      <c r="B18" s="188">
        <v>518</v>
      </c>
      <c r="C18" s="188">
        <v>95427</v>
      </c>
      <c r="D18" s="188">
        <v>4619280</v>
      </c>
      <c r="E18" s="188">
        <v>72514648</v>
      </c>
      <c r="F18" s="188">
        <v>15829050</v>
      </c>
      <c r="L18" s="119">
        <v>2005</v>
      </c>
    </row>
    <row r="19" spans="1:12" ht="13.5">
      <c r="A19" s="138">
        <v>2007</v>
      </c>
      <c r="B19" s="189">
        <v>506</v>
      </c>
      <c r="C19" s="189">
        <v>93755</v>
      </c>
      <c r="D19" s="189">
        <v>4657250</v>
      </c>
      <c r="E19" s="189">
        <v>74176770</v>
      </c>
      <c r="F19" s="189">
        <v>17072669</v>
      </c>
      <c r="L19" s="119">
        <v>2006</v>
      </c>
    </row>
    <row r="20" spans="1:12" ht="13.5">
      <c r="A20" s="139">
        <v>2008</v>
      </c>
      <c r="B20" s="188">
        <v>470</v>
      </c>
      <c r="C20" s="188">
        <v>85118</v>
      </c>
      <c r="D20" s="188">
        <v>4303940</v>
      </c>
      <c r="E20" s="188">
        <v>76788139</v>
      </c>
      <c r="F20" s="188">
        <v>18677331</v>
      </c>
      <c r="L20" s="119">
        <v>2007</v>
      </c>
    </row>
    <row r="21" spans="1:12" ht="13.5">
      <c r="A21" s="138">
        <v>2009</v>
      </c>
      <c r="B21" s="189">
        <v>462</v>
      </c>
      <c r="C21" s="189">
        <v>82782</v>
      </c>
      <c r="D21" s="189">
        <v>4292131</v>
      </c>
      <c r="E21" s="189">
        <v>53462495</v>
      </c>
      <c r="F21" s="189">
        <v>15048748</v>
      </c>
      <c r="L21" s="119">
        <v>2008</v>
      </c>
    </row>
    <row r="22" spans="1:12" ht="15.75" customHeight="1">
      <c r="A22" s="139">
        <v>2010</v>
      </c>
      <c r="B22" s="188">
        <v>459</v>
      </c>
      <c r="C22" s="188">
        <v>81089</v>
      </c>
      <c r="D22" s="188">
        <v>4288455.2280000001</v>
      </c>
      <c r="E22" s="188">
        <v>73497409.496000007</v>
      </c>
      <c r="F22" s="188">
        <v>17119030.883000001</v>
      </c>
      <c r="G22" s="140"/>
      <c r="L22" s="119">
        <v>2009</v>
      </c>
    </row>
    <row r="23" spans="1:12" ht="18.600000000000001" customHeight="1">
      <c r="A23" s="138">
        <v>2011</v>
      </c>
      <c r="B23" s="189">
        <v>461</v>
      </c>
      <c r="C23" s="189">
        <v>83058</v>
      </c>
      <c r="D23" s="189">
        <v>4483103</v>
      </c>
      <c r="E23" s="189">
        <v>85064473</v>
      </c>
      <c r="F23" s="189">
        <v>18748015</v>
      </c>
      <c r="G23" s="140"/>
      <c r="L23" s="119">
        <v>2010</v>
      </c>
    </row>
    <row r="24" spans="1:12" ht="13.5">
      <c r="A24" s="141">
        <v>2012</v>
      </c>
      <c r="B24" s="188">
        <v>449</v>
      </c>
      <c r="C24" s="188">
        <v>83766</v>
      </c>
      <c r="D24" s="188">
        <v>4653116</v>
      </c>
      <c r="E24" s="188">
        <v>88419481</v>
      </c>
      <c r="F24" s="188">
        <v>19537292</v>
      </c>
      <c r="G24" s="140"/>
      <c r="L24" s="119">
        <v>2011</v>
      </c>
    </row>
    <row r="25" spans="1:12" ht="13.5">
      <c r="A25" s="141">
        <v>2013</v>
      </c>
      <c r="B25" s="189">
        <v>445</v>
      </c>
      <c r="C25" s="189">
        <v>84853</v>
      </c>
      <c r="D25" s="189">
        <v>4875294.2</v>
      </c>
      <c r="E25" s="189">
        <v>83060160.429000005</v>
      </c>
      <c r="F25" s="189">
        <v>19797360.276000001</v>
      </c>
      <c r="G25" s="140"/>
      <c r="L25" s="119">
        <v>2012</v>
      </c>
    </row>
    <row r="26" spans="1:12" ht="13.5">
      <c r="A26" s="141">
        <v>2014</v>
      </c>
      <c r="B26" s="189">
        <v>445</v>
      </c>
      <c r="C26" s="189">
        <v>86087</v>
      </c>
      <c r="D26" s="189">
        <v>5076617.6900000004</v>
      </c>
      <c r="E26" s="189">
        <v>79153644.015000001</v>
      </c>
      <c r="F26" s="189">
        <v>20348090.798999999</v>
      </c>
      <c r="G26" s="140"/>
    </row>
    <row r="27" spans="1:12" ht="18.75" customHeight="1">
      <c r="A27" s="141">
        <v>2015</v>
      </c>
      <c r="B27" s="201">
        <v>433</v>
      </c>
      <c r="C27" s="202">
        <v>85622</v>
      </c>
      <c r="D27" s="202">
        <v>5219781</v>
      </c>
      <c r="E27" s="202">
        <v>70914314</v>
      </c>
      <c r="F27" s="202">
        <v>20863282</v>
      </c>
      <c r="G27" s="140"/>
      <c r="L27" s="119">
        <v>2013</v>
      </c>
    </row>
    <row r="28" spans="1:12" ht="13.5">
      <c r="A28" s="141">
        <v>2016</v>
      </c>
      <c r="B28" s="201">
        <v>444</v>
      </c>
      <c r="C28" s="202">
        <v>85986</v>
      </c>
      <c r="D28" s="202">
        <v>5295783</v>
      </c>
      <c r="E28" s="202">
        <v>68567351</v>
      </c>
      <c r="F28" s="202">
        <v>21526064</v>
      </c>
      <c r="G28" s="140"/>
    </row>
    <row r="29" spans="1:12">
      <c r="A29" s="142"/>
      <c r="B29" s="143"/>
      <c r="C29" s="143"/>
      <c r="D29" s="143"/>
      <c r="E29" s="143"/>
      <c r="F29" s="143"/>
      <c r="G29" s="140"/>
    </row>
    <row r="30" spans="1:12" ht="13.5">
      <c r="A30" s="252" t="s">
        <v>259</v>
      </c>
      <c r="B30" s="252"/>
      <c r="C30" s="252"/>
      <c r="D30" s="252"/>
      <c r="E30" s="252"/>
      <c r="F30" s="252"/>
    </row>
    <row r="31" spans="1:12" ht="13.5">
      <c r="A31" s="252" t="s">
        <v>260</v>
      </c>
      <c r="B31" s="252"/>
      <c r="C31" s="252"/>
      <c r="D31" s="252"/>
      <c r="E31" s="252"/>
      <c r="F31" s="252"/>
    </row>
    <row r="32" spans="1:12" ht="13.5">
      <c r="A32" s="252" t="s">
        <v>261</v>
      </c>
      <c r="B32" s="252"/>
      <c r="C32" s="252"/>
      <c r="D32" s="252"/>
      <c r="E32" s="252"/>
      <c r="F32" s="252"/>
    </row>
    <row r="33" spans="1:6">
      <c r="A33" s="144"/>
      <c r="B33" s="144"/>
      <c r="C33" s="144"/>
      <c r="D33" s="144"/>
      <c r="E33" s="144"/>
      <c r="F33" s="144"/>
    </row>
  </sheetData>
  <mergeCells count="14">
    <mergeCell ref="D7:E7"/>
    <mergeCell ref="A30:F30"/>
    <mergeCell ref="A31:F31"/>
    <mergeCell ref="A32:F32"/>
    <mergeCell ref="A1:F1"/>
    <mergeCell ref="A2:F2"/>
    <mergeCell ref="A3:F3"/>
    <mergeCell ref="A4:E4"/>
    <mergeCell ref="A5:A7"/>
    <mergeCell ref="B5:B6"/>
    <mergeCell ref="C5:C6"/>
    <mergeCell ref="D5:D6"/>
    <mergeCell ref="E5:F5"/>
    <mergeCell ref="B7:C7"/>
  </mergeCells>
  <conditionalFormatting sqref="B9:F27 A8:A27">
    <cfRule type="expression" dxfId="7" priority="11">
      <formula>MOD(ROW(),2)=1</formula>
    </cfRule>
  </conditionalFormatting>
  <conditionalFormatting sqref="B8:F8">
    <cfRule type="expression" dxfId="6" priority="9">
      <formula>MOD(ROW(),2)=1</formula>
    </cfRule>
  </conditionalFormatting>
  <conditionalFormatting sqref="A28">
    <cfRule type="expression" dxfId="5" priority="6">
      <formula>MOD(ROW(),2)=1</formula>
    </cfRule>
  </conditionalFormatting>
  <conditionalFormatting sqref="B28">
    <cfRule type="expression" dxfId="4" priority="5">
      <formula>MOD(ROW(),2)=1</formula>
    </cfRule>
  </conditionalFormatting>
  <conditionalFormatting sqref="C28">
    <cfRule type="expression" dxfId="3" priority="4">
      <formula>MOD(ROW(),2)=1</formula>
    </cfRule>
  </conditionalFormatting>
  <conditionalFormatting sqref="D28">
    <cfRule type="expression" dxfId="2" priority="3">
      <formula>MOD(ROW(),2)=1</formula>
    </cfRule>
  </conditionalFormatting>
  <conditionalFormatting sqref="E28">
    <cfRule type="expression" dxfId="1" priority="2">
      <formula>MOD(ROW(),2)=1</formula>
    </cfRule>
  </conditionalFormatting>
  <conditionalFormatting sqref="F28">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j 14 HH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topLeftCell="A2" zoomScaleNormal="100" workbookViewId="0"/>
  </sheetViews>
  <sheetFormatPr baseColWidth="10" defaultColWidth="11.42578125" defaultRowHeight="11.25"/>
  <cols>
    <col min="1" max="1" width="88.140625" style="146" customWidth="1"/>
    <col min="2" max="2" width="1.7109375" style="146" customWidth="1"/>
    <col min="3" max="3" width="11.42578125" style="146"/>
    <col min="4" max="26" width="1.7109375" style="146" customWidth="1"/>
    <col min="27" max="16384" width="11.42578125" style="146"/>
  </cols>
  <sheetData>
    <row r="1" spans="1:1" ht="11.25" customHeight="1">
      <c r="A1" s="145"/>
    </row>
    <row r="2" spans="1:1" ht="38.25" customHeight="1">
      <c r="A2" s="147" t="s">
        <v>316</v>
      </c>
    </row>
    <row r="3" spans="1:1" ht="11.25" customHeight="1">
      <c r="A3" s="148" t="s">
        <v>256</v>
      </c>
    </row>
    <row r="4" spans="1:1" ht="11.25" customHeight="1">
      <c r="A4" s="145"/>
    </row>
    <row r="5" spans="1:1" ht="11.25" customHeight="1">
      <c r="A5" s="145"/>
    </row>
    <row r="6" spans="1:1" ht="11.25" customHeight="1">
      <c r="A6" s="145"/>
    </row>
    <row r="7" spans="1:1" ht="11.25" customHeight="1">
      <c r="A7" s="145"/>
    </row>
    <row r="8" spans="1:1" ht="11.25" customHeight="1">
      <c r="A8" s="145"/>
    </row>
    <row r="9" spans="1:1" ht="11.25" customHeight="1">
      <c r="A9" s="145"/>
    </row>
    <row r="10" spans="1:1" ht="11.25" customHeight="1">
      <c r="A10" s="145"/>
    </row>
    <row r="11" spans="1:1" ht="11.25" customHeight="1">
      <c r="A11" s="145"/>
    </row>
    <row r="12" spans="1:1" ht="11.25" customHeight="1">
      <c r="A12" s="145"/>
    </row>
    <row r="13" spans="1:1" ht="11.25" customHeight="1">
      <c r="A13" s="145"/>
    </row>
    <row r="14" spans="1:1" ht="11.25" customHeight="1">
      <c r="A14" s="145"/>
    </row>
    <row r="15" spans="1:1" ht="11.25" customHeight="1">
      <c r="A15" s="145"/>
    </row>
    <row r="16" spans="1:1" ht="11.25" customHeight="1">
      <c r="A16" s="145"/>
    </row>
    <row r="17" spans="1:1" s="149" customFormat="1" ht="11.25" customHeight="1">
      <c r="A17" s="145"/>
    </row>
    <row r="18" spans="1:1" s="149" customFormat="1" ht="11.25" customHeight="1">
      <c r="A18" s="145"/>
    </row>
    <row r="19" spans="1:1" s="149" customFormat="1" ht="11.25" customHeight="1">
      <c r="A19" s="145"/>
    </row>
    <row r="20" spans="1:1" s="149" customFormat="1" ht="11.25" customHeight="1">
      <c r="A20" s="145"/>
    </row>
    <row r="21" spans="1:1" s="149" customFormat="1" ht="11.25" customHeight="1">
      <c r="A21" s="145"/>
    </row>
    <row r="22" spans="1:1" s="149" customFormat="1" ht="11.25" customHeight="1">
      <c r="A22" s="145"/>
    </row>
    <row r="23" spans="1:1" s="149" customFormat="1" ht="11.25" customHeight="1">
      <c r="A23" s="145"/>
    </row>
    <row r="24" spans="1:1" s="149" customFormat="1" ht="11.25" customHeight="1">
      <c r="A24" s="145"/>
    </row>
    <row r="25" spans="1:1" s="149" customFormat="1" ht="11.25" customHeight="1">
      <c r="A25" s="145"/>
    </row>
    <row r="26" spans="1:1" s="149" customFormat="1" ht="11.25" customHeight="1">
      <c r="A26" s="145"/>
    </row>
    <row r="27" spans="1:1" s="149" customFormat="1" ht="11.25" customHeight="1">
      <c r="A27" s="145"/>
    </row>
    <row r="28" spans="1:1" s="149" customFormat="1" ht="11.25" customHeight="1">
      <c r="A28" s="145"/>
    </row>
    <row r="29" spans="1:1" s="149" customFormat="1" ht="11.25" customHeight="1">
      <c r="A29" s="145"/>
    </row>
    <row r="30" spans="1:1" s="149" customFormat="1" ht="11.25" customHeight="1">
      <c r="A30" s="145"/>
    </row>
    <row r="31" spans="1:1" s="149" customFormat="1" ht="11.25" customHeight="1">
      <c r="A31" s="145"/>
    </row>
    <row r="32" spans="1:1" s="149" customFormat="1" ht="11.25" customHeight="1">
      <c r="A32" s="145"/>
    </row>
    <row r="33" spans="1:1" s="149" customFormat="1" ht="11.25" customHeight="1">
      <c r="A33" s="145"/>
    </row>
    <row r="34" spans="1:1" s="149" customFormat="1" ht="11.25" customHeight="1">
      <c r="A34" s="145"/>
    </row>
    <row r="35" spans="1:1" s="149" customFormat="1" ht="11.25" customHeight="1">
      <c r="A35" s="145"/>
    </row>
    <row r="36" spans="1:1" s="149" customFormat="1" ht="11.25" customHeight="1">
      <c r="A36" s="145"/>
    </row>
    <row r="37" spans="1:1" s="149" customFormat="1" ht="11.25" customHeight="1">
      <c r="A37" s="145"/>
    </row>
    <row r="38" spans="1:1" s="149" customFormat="1" ht="11.25" customHeight="1">
      <c r="A38" s="145"/>
    </row>
    <row r="39" spans="1:1" s="149" customFormat="1" ht="11.25" customHeight="1">
      <c r="A39" s="145"/>
    </row>
    <row r="40" spans="1:1" s="149" customFormat="1" ht="11.25" customHeight="1">
      <c r="A40" s="145"/>
    </row>
    <row r="41" spans="1:1" s="149" customFormat="1" ht="11.25" customHeight="1">
      <c r="A41" s="145"/>
    </row>
    <row r="42" spans="1:1" s="149" customFormat="1" ht="11.25" customHeight="1"/>
    <row r="43" spans="1:1" s="149" customFormat="1" ht="11.25" customHeight="1"/>
    <row r="44" spans="1:1" s="149" customFormat="1" ht="11.25" customHeight="1"/>
    <row r="45" spans="1:1" s="149" customFormat="1" ht="11.25" customHeight="1"/>
    <row r="46" spans="1:1" s="149" customFormat="1" ht="11.25" customHeight="1"/>
    <row r="47" spans="1:1" s="149" customFormat="1" ht="11.25" customHeight="1"/>
    <row r="48" spans="1:1" s="149" customFormat="1" ht="11.25" customHeight="1"/>
    <row r="49" s="149" customFormat="1" ht="11.25" customHeight="1"/>
    <row r="50" s="149" customFormat="1" ht="11.25" customHeight="1"/>
    <row r="51" s="149" customFormat="1" ht="11.25" customHeight="1"/>
    <row r="52" s="149" customFormat="1"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 16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5</vt:i4>
      </vt:variant>
    </vt:vector>
  </HeadingPairs>
  <TitlesOfParts>
    <vt:vector size="19" baseType="lpstr">
      <vt:lpstr>VO_1</vt:lpstr>
      <vt:lpstr>VO_2</vt:lpstr>
      <vt:lpstr>VO_3</vt:lpstr>
      <vt:lpstr>VO_4</vt:lpstr>
      <vt:lpstr>T1_1</vt:lpstr>
      <vt:lpstr>T2_1</vt:lpstr>
      <vt:lpstr>T3_1</vt:lpstr>
      <vt:lpstr>TB5_1</vt:lpstr>
      <vt:lpstr>TG5_1</vt:lpstr>
      <vt:lpstr>DatenBesch_1</vt:lpstr>
      <vt:lpstr>TGBESCHAEND_1</vt:lpstr>
      <vt:lpstr>DatenUMs_1</vt:lpstr>
      <vt:lpstr>TGUMSATZAEND_1</vt:lpstr>
      <vt:lpstr>Tabelle1</vt:lpstr>
      <vt:lpstr>TGBESCHAEND_1!Druckbereich</vt:lpstr>
      <vt:lpstr>TGUMSATZAEND_1!Druckbereich</vt:lpstr>
      <vt:lpstr>VO_4!Druckbereich</vt:lpstr>
      <vt:lpstr>T1_1!Drucktitel</vt:lpstr>
      <vt:lpstr>T2_1!Drucktitel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2017-06-23T06:16:41Z</cp:lastPrinted>
  <dcterms:created xsi:type="dcterms:W3CDTF">2006-07-12T13:26:28Z</dcterms:created>
  <dcterms:modified xsi:type="dcterms:W3CDTF">2017-06-23T06:16:45Z</dcterms:modified>
  <cp:category>LIS-Bericht</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