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35" windowWidth="20250" windowHeight="11640" tabRatio="797"/>
  </bookViews>
  <sheets>
    <sheet name="VO_1" sheetId="48" r:id="rId1"/>
    <sheet name="VO_2" sheetId="47" r:id="rId2"/>
    <sheet name="VO_3" sheetId="17" r:id="rId3"/>
    <sheet name="VO_4" sheetId="46" r:id="rId4"/>
    <sheet name="T1_1" sheetId="38" r:id="rId5"/>
    <sheet name="T2_1" sheetId="39" r:id="rId6"/>
    <sheet name="T3_1" sheetId="40" r:id="rId7"/>
    <sheet name="T4_1" sheetId="41" r:id="rId8"/>
    <sheet name="T5_1" sheetId="42" r:id="rId9"/>
    <sheet name="TB5_1" sheetId="64" state="hidden" r:id="rId10"/>
    <sheet name="TG5_1" sheetId="59" r:id="rId11"/>
    <sheet name="DatenBesch_1" sheetId="66" state="hidden" r:id="rId12"/>
    <sheet name="TGBESCHAEND_1" sheetId="65" r:id="rId13"/>
    <sheet name="DatenUMs_1" sheetId="68" state="hidden" r:id="rId14"/>
    <sheet name="TGUMSATZAEND_1" sheetId="67" r:id="rId15"/>
    <sheet name="Tabelle1" sheetId="69" r:id="rId16"/>
    <sheet name="Tabelle2" sheetId="70" state="hidden" r:id="rId17"/>
    <sheet name="Tabelle3" sheetId="71" r:id="rId18"/>
  </sheets>
  <definedNames>
    <definedName name="_xlnm.Print_Area" localSheetId="12">TGBESCHAEND_1!$A:$A</definedName>
    <definedName name="_xlnm.Print_Area" localSheetId="14">TGUMSATZAEND_1!$A:$A</definedName>
    <definedName name="_xlnm.Print_Area" localSheetId="0">VO_1!$A$1:$G$53</definedName>
    <definedName name="_xlnm.Print_Area" localSheetId="3">VO_4!$A$1:$B$103</definedName>
    <definedName name="_xlnm.Print_Titles" localSheetId="4">T1_1!$1:$8</definedName>
    <definedName name="_xlnm.Print_Titles" localSheetId="5">T2_1!$1:$9</definedName>
    <definedName name="Z_1004_Abruf_aus_Zeitreihe_variabel" localSheetId="11">#REF!</definedName>
    <definedName name="Z_1004_Abruf_aus_Zeitreihe_variabel" localSheetId="13">#REF!</definedName>
    <definedName name="Z_1004_Abruf_aus_Zeitreihe_variabel" localSheetId="9">#REF!</definedName>
    <definedName name="Z_1004_Abruf_aus_Zeitreihe_variabel" localSheetId="10">#REF!</definedName>
    <definedName name="Z_1004_Abruf_aus_Zeitreihe_variabel" localSheetId="12">#REF!</definedName>
    <definedName name="Z_1004_Abruf_aus_Zeitreihe_variabel" localSheetId="14">#REF!</definedName>
    <definedName name="Z_1004_Abruf_aus_Zeitreihe_variabel">#REF!</definedName>
  </definedNames>
  <calcPr calcId="145621"/>
</workbook>
</file>

<file path=xl/calcChain.xml><?xml version="1.0" encoding="utf-8"?>
<calcChain xmlns="http://schemas.openxmlformats.org/spreadsheetml/2006/main">
  <c r="D53" i="41" l="1"/>
  <c r="D51" i="41"/>
  <c r="D50" i="41"/>
  <c r="D49" i="41"/>
  <c r="D48" i="41"/>
  <c r="D47" i="41"/>
  <c r="D46" i="41"/>
  <c r="D45" i="41"/>
  <c r="D44" i="41"/>
  <c r="D43" i="41"/>
  <c r="D42" i="41"/>
  <c r="D41" i="41"/>
  <c r="D40" i="41"/>
  <c r="D39" i="41"/>
  <c r="D38" i="41"/>
  <c r="D37" i="41"/>
  <c r="C53" i="41"/>
  <c r="C51" i="41"/>
  <c r="C37" i="41"/>
  <c r="C50" i="41"/>
  <c r="C49" i="41"/>
  <c r="C48" i="41"/>
  <c r="C47" i="41"/>
  <c r="C46" i="41"/>
  <c r="C45" i="41" l="1"/>
  <c r="C44" i="41"/>
  <c r="C43" i="41"/>
  <c r="C42" i="41"/>
  <c r="C41" i="41"/>
  <c r="C40" i="41"/>
  <c r="C39" i="41"/>
  <c r="C38" i="41"/>
  <c r="E10" i="41"/>
  <c r="B53" i="41" l="1"/>
  <c r="B51" i="41"/>
  <c r="B50" i="41"/>
  <c r="B49" i="41"/>
  <c r="B48" i="41"/>
  <c r="B47" i="41"/>
  <c r="B46" i="41"/>
  <c r="B45" i="41"/>
  <c r="B44" i="41"/>
  <c r="B43" i="41"/>
  <c r="B42" i="41"/>
  <c r="B41" i="41"/>
  <c r="B40" i="41"/>
  <c r="B37" i="41"/>
  <c r="B38" i="41"/>
  <c r="B39" i="41"/>
  <c r="E26" i="41"/>
  <c r="E23" i="41"/>
  <c r="E24" i="41"/>
  <c r="E22" i="41"/>
  <c r="E21" i="41"/>
  <c r="E20" i="41"/>
  <c r="E19" i="41"/>
  <c r="E18" i="41"/>
  <c r="E17" i="41"/>
  <c r="E16" i="41"/>
  <c r="E15" i="41"/>
  <c r="E14" i="41"/>
  <c r="E13" i="41"/>
  <c r="E12" i="41"/>
  <c r="E11" i="41"/>
  <c r="D49" i="40"/>
  <c r="D47" i="40"/>
  <c r="D46" i="40"/>
  <c r="D45" i="40"/>
  <c r="D44" i="40"/>
  <c r="D43" i="40"/>
  <c r="D42" i="40"/>
  <c r="D41" i="40"/>
  <c r="D40" i="40"/>
  <c r="D39" i="40"/>
  <c r="D35" i="40"/>
  <c r="D38" i="40"/>
  <c r="D37" i="40"/>
  <c r="D36" i="40"/>
  <c r="D34" i="40"/>
  <c r="D33" i="40"/>
  <c r="C49" i="40"/>
  <c r="C47" i="40"/>
  <c r="C46" i="40"/>
  <c r="C45" i="40"/>
  <c r="C44" i="40"/>
  <c r="C43" i="40"/>
  <c r="C42" i="40"/>
  <c r="C41" i="40"/>
  <c r="C40" i="40"/>
  <c r="C39" i="40"/>
  <c r="C38" i="40"/>
  <c r="C37" i="40"/>
  <c r="C36" i="40"/>
  <c r="C35" i="40"/>
  <c r="C34" i="40"/>
  <c r="C33" i="40"/>
  <c r="B49" i="40"/>
  <c r="B47" i="40"/>
  <c r="B46" i="40"/>
  <c r="B45" i="40"/>
  <c r="B44" i="40"/>
  <c r="B43" i="40"/>
  <c r="B42" i="40"/>
  <c r="B41" i="40"/>
  <c r="B40" i="40"/>
  <c r="B39" i="40"/>
  <c r="B38" i="40"/>
  <c r="B37" i="40"/>
  <c r="B33" i="40"/>
  <c r="G134" i="39"/>
  <c r="G133" i="39"/>
  <c r="G132" i="39"/>
  <c r="G131" i="39"/>
  <c r="G130" i="39"/>
  <c r="G128" i="39"/>
  <c r="G126" i="39"/>
  <c r="G125" i="39"/>
  <c r="G123" i="39"/>
  <c r="G122" i="39"/>
  <c r="G121" i="39"/>
  <c r="G120" i="39"/>
  <c r="G119" i="39"/>
  <c r="G117" i="39"/>
  <c r="G118" i="39"/>
  <c r="G116" i="39"/>
  <c r="G115" i="39"/>
  <c r="G114" i="39"/>
  <c r="G112" i="39"/>
  <c r="G111" i="39"/>
  <c r="G110" i="39"/>
  <c r="G109" i="39"/>
  <c r="G108" i="39"/>
  <c r="G107" i="39"/>
  <c r="G106" i="39"/>
  <c r="G105" i="39"/>
  <c r="G103" i="39"/>
  <c r="G102" i="39"/>
  <c r="G101" i="39"/>
  <c r="G100" i="39"/>
  <c r="G99" i="39"/>
  <c r="G98" i="39"/>
  <c r="G97" i="39"/>
  <c r="G96" i="39"/>
  <c r="G95" i="39"/>
  <c r="G94" i="39"/>
  <c r="G93" i="39"/>
  <c r="G91" i="39"/>
  <c r="G89" i="39"/>
  <c r="G88" i="39"/>
  <c r="G87" i="39"/>
  <c r="G86" i="39"/>
  <c r="G85" i="39"/>
  <c r="G84" i="39"/>
  <c r="G83" i="39"/>
  <c r="G82" i="39"/>
  <c r="G81" i="39"/>
  <c r="G78" i="39"/>
  <c r="G77" i="39"/>
  <c r="G76" i="39"/>
  <c r="G75" i="39"/>
  <c r="G74" i="39"/>
  <c r="G73" i="39"/>
  <c r="G71" i="39"/>
  <c r="G69" i="39"/>
  <c r="G68" i="39"/>
  <c r="G65" i="39"/>
  <c r="G64" i="39"/>
  <c r="G63" i="39"/>
  <c r="G62" i="39"/>
  <c r="G61" i="39"/>
  <c r="G60" i="39"/>
  <c r="G59" i="39"/>
  <c r="G58" i="39"/>
  <c r="G57" i="39"/>
  <c r="G56" i="39"/>
  <c r="G55" i="39"/>
  <c r="G54" i="39"/>
  <c r="G53" i="39"/>
  <c r="G52" i="39"/>
  <c r="G51" i="39"/>
  <c r="G50" i="39"/>
  <c r="G49" i="39"/>
  <c r="G46" i="39"/>
  <c r="G45" i="39"/>
  <c r="G44" i="39"/>
  <c r="G43" i="39"/>
  <c r="G42" i="39"/>
  <c r="G41" i="39"/>
  <c r="G40" i="39"/>
  <c r="G38" i="39"/>
  <c r="G37" i="39"/>
  <c r="G36" i="39"/>
  <c r="G32" i="39"/>
  <c r="G29" i="39"/>
  <c r="G28" i="39"/>
  <c r="G27" i="39"/>
  <c r="G26" i="39"/>
  <c r="G25" i="39"/>
  <c r="G24" i="39"/>
  <c r="G22" i="39"/>
  <c r="G21" i="39"/>
  <c r="G20" i="39"/>
  <c r="G18" i="39"/>
  <c r="G16" i="39"/>
  <c r="G15" i="39"/>
  <c r="G14" i="39"/>
  <c r="D134" i="39"/>
  <c r="D133" i="39"/>
  <c r="D131" i="39"/>
  <c r="D130" i="39"/>
  <c r="D128" i="39"/>
  <c r="D126" i="39"/>
  <c r="D125" i="39"/>
  <c r="D124" i="39"/>
  <c r="D123" i="39"/>
  <c r="D122" i="39"/>
  <c r="D121" i="39"/>
  <c r="D120" i="39"/>
  <c r="D119" i="39"/>
  <c r="D118" i="39"/>
  <c r="D117" i="39"/>
  <c r="D116" i="39"/>
  <c r="D115" i="39"/>
  <c r="D114" i="39"/>
  <c r="D113" i="39"/>
  <c r="D112" i="39"/>
  <c r="D111" i="39"/>
  <c r="D110" i="39"/>
  <c r="D109" i="39"/>
  <c r="D108" i="39"/>
  <c r="D107" i="39"/>
  <c r="D106" i="39"/>
  <c r="D105" i="39"/>
  <c r="D104" i="39"/>
  <c r="D103" i="39"/>
  <c r="D102" i="39"/>
  <c r="D101" i="39"/>
  <c r="D100" i="39"/>
  <c r="D99" i="39"/>
  <c r="D98" i="39"/>
  <c r="D97" i="39"/>
  <c r="D96" i="39"/>
  <c r="D95" i="39"/>
  <c r="D94" i="39"/>
  <c r="D93" i="39"/>
  <c r="D91" i="39"/>
  <c r="D90" i="39"/>
  <c r="D89" i="39"/>
  <c r="D88" i="39"/>
  <c r="D87" i="39"/>
  <c r="D86" i="39"/>
  <c r="D85" i="39"/>
  <c r="D84" i="39"/>
  <c r="D83" i="39"/>
  <c r="D82" i="39"/>
  <c r="D81" i="39"/>
  <c r="D80" i="39"/>
  <c r="D78" i="39"/>
  <c r="D77" i="39"/>
  <c r="D76" i="39"/>
  <c r="D75" i="39"/>
  <c r="D74" i="39"/>
  <c r="D73" i="39"/>
  <c r="D72" i="39"/>
  <c r="D71" i="39"/>
  <c r="D70" i="39"/>
  <c r="D69" i="39"/>
  <c r="D68" i="39"/>
  <c r="D67" i="39"/>
  <c r="D66" i="39"/>
  <c r="D65" i="39"/>
  <c r="D64" i="39"/>
  <c r="D63" i="39"/>
  <c r="D62" i="39"/>
  <c r="D61" i="39"/>
  <c r="D60" i="39"/>
  <c r="D59" i="39"/>
  <c r="D58" i="39"/>
  <c r="D57" i="39"/>
  <c r="D56" i="39"/>
  <c r="D55" i="39"/>
  <c r="D54" i="39"/>
  <c r="D53" i="39"/>
  <c r="D52" i="39"/>
  <c r="D51" i="39"/>
  <c r="D50" i="39"/>
  <c r="D49" i="39"/>
  <c r="D47" i="39"/>
  <c r="D46" i="39"/>
  <c r="D45" i="39"/>
  <c r="D44" i="39"/>
  <c r="D43" i="39"/>
  <c r="D42" i="39"/>
  <c r="D41" i="39"/>
  <c r="D40" i="39"/>
  <c r="D39" i="39"/>
  <c r="D38" i="39"/>
  <c r="D37" i="39"/>
  <c r="D36" i="39"/>
  <c r="D32" i="39"/>
  <c r="D30" i="39"/>
  <c r="D29" i="39"/>
  <c r="D28" i="39"/>
  <c r="D27" i="39"/>
  <c r="D26" i="39"/>
  <c r="D25" i="39"/>
  <c r="D24" i="39"/>
  <c r="D23" i="39"/>
  <c r="D22" i="39"/>
  <c r="D21" i="39"/>
  <c r="D20" i="39"/>
  <c r="D19" i="39"/>
  <c r="D18" i="39"/>
  <c r="D16" i="39"/>
  <c r="D15" i="39"/>
  <c r="D10" i="39"/>
  <c r="D14" i="39"/>
  <c r="F46" i="39"/>
  <c r="F134" i="39" l="1"/>
  <c r="F133" i="39"/>
  <c r="F132" i="39"/>
  <c r="F131" i="39"/>
  <c r="F130" i="39"/>
  <c r="F128" i="39"/>
  <c r="F126" i="39"/>
  <c r="F125" i="39"/>
  <c r="F123" i="39"/>
  <c r="F122" i="39"/>
  <c r="F121" i="39"/>
  <c r="F120" i="39"/>
  <c r="F119" i="39"/>
  <c r="F118" i="39"/>
  <c r="F117" i="39"/>
  <c r="F116" i="39"/>
  <c r="F115" i="39"/>
  <c r="F114" i="39"/>
  <c r="F112" i="39"/>
  <c r="F111" i="39"/>
  <c r="F110" i="39"/>
  <c r="F109" i="39"/>
  <c r="F108" i="39"/>
  <c r="F107" i="39"/>
  <c r="F106" i="39"/>
  <c r="F105" i="39"/>
  <c r="F103" i="39"/>
  <c r="F102" i="39"/>
  <c r="F101" i="39"/>
  <c r="F100" i="39"/>
  <c r="F99" i="39"/>
  <c r="F98" i="39"/>
  <c r="F97" i="39"/>
  <c r="F96" i="39"/>
  <c r="F95" i="39"/>
  <c r="F94" i="39"/>
  <c r="F93" i="39"/>
  <c r="F91" i="39"/>
  <c r="F89" i="39"/>
  <c r="F88" i="39"/>
  <c r="F87" i="39"/>
  <c r="F86" i="39"/>
  <c r="F85" i="39"/>
  <c r="F84" i="39"/>
  <c r="F83" i="39"/>
  <c r="F82" i="39"/>
  <c r="F81" i="39"/>
  <c r="F78" i="39"/>
  <c r="F77" i="39"/>
  <c r="F76" i="39"/>
  <c r="F75" i="39"/>
  <c r="F74" i="39"/>
  <c r="F73" i="39"/>
  <c r="F71" i="39"/>
  <c r="F69" i="39"/>
  <c r="F68" i="39"/>
  <c r="F65" i="39"/>
  <c r="F64" i="39"/>
  <c r="F63" i="39"/>
  <c r="F62" i="39"/>
  <c r="F61" i="39"/>
  <c r="F60" i="39"/>
  <c r="F59" i="39"/>
  <c r="F58" i="39"/>
  <c r="F57" i="39"/>
  <c r="F56" i="39"/>
  <c r="F55" i="39"/>
  <c r="F54" i="39"/>
  <c r="F53" i="39"/>
  <c r="F52" i="39"/>
  <c r="F51" i="39"/>
  <c r="F50" i="39"/>
  <c r="F49" i="39"/>
  <c r="F45" i="39"/>
  <c r="F44" i="39"/>
  <c r="F43" i="39"/>
  <c r="F42" i="39"/>
  <c r="F41" i="39"/>
  <c r="F40" i="39"/>
  <c r="F38" i="39"/>
  <c r="F37" i="39"/>
  <c r="F36" i="39"/>
  <c r="F33" i="39"/>
  <c r="F32" i="39"/>
  <c r="F29" i="39"/>
  <c r="F28" i="39"/>
  <c r="F27" i="39"/>
  <c r="F26" i="39"/>
  <c r="F25" i="39"/>
  <c r="F24" i="39"/>
  <c r="F22" i="39"/>
  <c r="F21" i="39"/>
  <c r="F20" i="39"/>
  <c r="F18" i="39"/>
  <c r="F17" i="39"/>
  <c r="F16" i="39"/>
  <c r="F15" i="39"/>
  <c r="F14" i="39"/>
  <c r="H133" i="38"/>
  <c r="H132" i="38"/>
  <c r="H131" i="38"/>
  <c r="H130" i="38"/>
  <c r="H129" i="38"/>
  <c r="H127"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0" i="38"/>
  <c r="H89" i="38"/>
  <c r="H88" i="38"/>
  <c r="H87" i="38"/>
  <c r="H86" i="38"/>
  <c r="H85" i="38"/>
  <c r="H84" i="38"/>
  <c r="H83" i="38"/>
  <c r="H82" i="38"/>
  <c r="H81" i="38"/>
  <c r="H80" i="38"/>
  <c r="H79"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39" i="38"/>
  <c r="H38" i="38"/>
  <c r="H37" i="38"/>
  <c r="H36" i="38"/>
  <c r="H35" i="38"/>
  <c r="H34" i="38"/>
  <c r="H33" i="38"/>
  <c r="H31" i="38"/>
  <c r="H29" i="38"/>
  <c r="H28" i="38"/>
  <c r="H27" i="38"/>
  <c r="H26" i="38"/>
  <c r="H25" i="38"/>
  <c r="H24" i="38"/>
  <c r="H23" i="38"/>
  <c r="H22" i="38"/>
  <c r="H21" i="38"/>
  <c r="H20" i="38"/>
  <c r="H19" i="38"/>
  <c r="H18" i="38"/>
  <c r="H17" i="38"/>
  <c r="H15" i="38"/>
  <c r="H14" i="38"/>
  <c r="H13" i="38"/>
  <c r="H9" i="38"/>
  <c r="F133" i="38"/>
  <c r="F132" i="38"/>
  <c r="F131" i="38"/>
  <c r="F130" i="38"/>
  <c r="F129" i="38"/>
  <c r="F127" i="38"/>
  <c r="F125" i="38"/>
  <c r="F124" i="38"/>
  <c r="F123" i="38"/>
  <c r="F122" i="38"/>
  <c r="F121" i="38"/>
  <c r="F120" i="38"/>
  <c r="F119" i="38"/>
  <c r="F118" i="38"/>
  <c r="F117" i="38"/>
  <c r="F116" i="38"/>
  <c r="F115" i="38"/>
  <c r="F114" i="38"/>
  <c r="F113" i="38"/>
  <c r="F112" i="38"/>
  <c r="F111" i="38"/>
  <c r="F110" i="38"/>
  <c r="F109" i="38"/>
  <c r="F108" i="38"/>
  <c r="F107" i="38"/>
  <c r="F106" i="38"/>
  <c r="F105" i="38"/>
  <c r="F104" i="38"/>
  <c r="F103" i="38"/>
  <c r="F102" i="38"/>
  <c r="F101" i="38"/>
  <c r="F100" i="38"/>
  <c r="F99" i="38"/>
  <c r="F98" i="38"/>
  <c r="F97" i="38"/>
  <c r="F96" i="38"/>
  <c r="F95" i="38"/>
  <c r="F94" i="38"/>
  <c r="F93" i="38"/>
  <c r="F92" i="38"/>
  <c r="F90" i="38"/>
  <c r="F89" i="38"/>
  <c r="F88" i="38"/>
  <c r="F87" i="38"/>
  <c r="F86" i="38"/>
  <c r="F85" i="38"/>
  <c r="F84" i="38"/>
  <c r="F83" i="38"/>
  <c r="F82" i="38"/>
  <c r="F81" i="38"/>
  <c r="F80" i="38"/>
  <c r="F79" i="38"/>
  <c r="F77" i="38"/>
  <c r="F76" i="38"/>
  <c r="F75" i="38"/>
  <c r="F74" i="38"/>
  <c r="F73" i="38"/>
  <c r="F72" i="38"/>
  <c r="F71" i="38"/>
  <c r="F70" i="38"/>
  <c r="F69" i="38"/>
  <c r="F68" i="38"/>
  <c r="F67" i="38"/>
  <c r="F66" i="38"/>
  <c r="F65" i="38"/>
  <c r="F64" i="38"/>
  <c r="F63" i="38"/>
  <c r="F62" i="38"/>
  <c r="F61" i="38"/>
  <c r="F60" i="38"/>
  <c r="F59" i="38"/>
  <c r="F58" i="38"/>
  <c r="F57" i="38"/>
  <c r="F56" i="38"/>
  <c r="F55" i="38"/>
  <c r="F54" i="38"/>
  <c r="F53" i="38"/>
  <c r="F52" i="38"/>
  <c r="F51" i="38"/>
  <c r="F50" i="38"/>
  <c r="F49" i="38"/>
  <c r="F48" i="38"/>
  <c r="F47" i="38"/>
  <c r="F46" i="38"/>
  <c r="F45" i="38"/>
  <c r="F44" i="38"/>
  <c r="F43" i="38"/>
  <c r="F42" i="38"/>
  <c r="F41" i="38"/>
  <c r="F40" i="38"/>
  <c r="F39" i="38"/>
  <c r="F38" i="38"/>
  <c r="F37" i="38"/>
  <c r="F36" i="38"/>
  <c r="F35" i="38"/>
  <c r="F34" i="38"/>
  <c r="F33" i="38"/>
  <c r="F31" i="38"/>
  <c r="F29" i="38"/>
  <c r="F28" i="38"/>
  <c r="F27" i="38"/>
  <c r="F26" i="38"/>
  <c r="F25" i="38"/>
  <c r="F24" i="38"/>
  <c r="F23" i="38"/>
  <c r="F22" i="38"/>
  <c r="F21" i="38"/>
  <c r="F20" i="38"/>
  <c r="F19" i="38"/>
  <c r="F18" i="38"/>
  <c r="F17" i="38"/>
  <c r="F15" i="38"/>
  <c r="F14" i="38"/>
  <c r="F13" i="38"/>
  <c r="F9" i="38"/>
  <c r="E5" i="68" l="1"/>
  <c r="E5" i="66" l="1"/>
  <c r="E22" i="68" l="1"/>
  <c r="E20" i="68"/>
  <c r="E16" i="68"/>
  <c r="E10" i="68"/>
  <c r="E25" i="68"/>
  <c r="E17" i="68"/>
  <c r="E14" i="68"/>
  <c r="E11" i="68"/>
  <c r="E15" i="68"/>
  <c r="E12" i="68"/>
  <c r="E24" i="68"/>
  <c r="E9" i="68"/>
  <c r="E21" i="68"/>
  <c r="E7" i="68"/>
  <c r="E13" i="68"/>
  <c r="E8" i="68"/>
  <c r="E19" i="68"/>
  <c r="E23" i="68"/>
  <c r="E6" i="68"/>
  <c r="E18" i="68"/>
  <c r="E13" i="66"/>
  <c r="E14" i="66"/>
  <c r="E19" i="66"/>
  <c r="E10" i="66"/>
  <c r="E23" i="66"/>
  <c r="E15" i="66"/>
  <c r="E16" i="66"/>
  <c r="E6" i="66"/>
  <c r="E17" i="66"/>
  <c r="E25" i="66"/>
  <c r="E22" i="66"/>
  <c r="E7" i="66"/>
  <c r="E8" i="66"/>
  <c r="E18" i="66"/>
  <c r="E20" i="66"/>
  <c r="E21" i="66"/>
  <c r="E9" i="66"/>
  <c r="E24" i="66"/>
  <c r="E11" i="66"/>
  <c r="E12" i="66"/>
  <c r="E26" i="66"/>
</calcChain>
</file>

<file path=xl/sharedStrings.xml><?xml version="1.0" encoding="utf-8"?>
<sst xmlns="http://schemas.openxmlformats.org/spreadsheetml/2006/main" count="988" uniqueCount="476">
  <si>
    <t>Bezeichnung</t>
  </si>
  <si>
    <t>Bruttoentgelte</t>
  </si>
  <si>
    <t>1 000 Euro</t>
  </si>
  <si>
    <t>WZ 2008</t>
  </si>
  <si>
    <t>·</t>
  </si>
  <si>
    <t xml:space="preserve">Inhaltsverzeichnis </t>
  </si>
  <si>
    <t>Vorbemerkung</t>
  </si>
  <si>
    <t>Jahr</t>
  </si>
  <si>
    <t>Seite</t>
  </si>
  <si>
    <t>Statistisches Amt</t>
  </si>
  <si>
    <t>für Hamburg und Schleswig-Holstein</t>
  </si>
  <si>
    <t>1.</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</si>
  <si>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</si>
  <si>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</si>
  <si>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</si>
  <si>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</si>
  <si>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</si>
  <si>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</si>
  <si>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</si>
  <si>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</si>
  <si>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</si>
  <si>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</si>
  <si>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</si>
  <si>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</si>
  <si>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</si>
  <si>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</si>
  <si>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</si>
  <si>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</si>
  <si>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</si>
  <si>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</si>
  <si>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</si>
  <si>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</si>
  <si>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</si>
  <si>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</si>
  <si>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</si>
  <si>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</si>
  <si>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</si>
  <si>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</si>
  <si>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</si>
  <si>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</si>
  <si>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</si>
  <si>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</si>
  <si>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</si>
  <si>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</si>
  <si>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</si>
  <si>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</si>
  <si>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</si>
  <si>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</si>
  <si>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</si>
  <si>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</si>
  <si>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</si>
  <si>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</si>
  <si>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</si>
  <si>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</si>
  <si>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</si>
  <si>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</si>
  <si>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</si>
  <si>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</si>
  <si>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</si>
  <si>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</si>
  <si>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</si>
  <si>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</si>
  <si>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</si>
  <si>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</si>
  <si>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</si>
  <si>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</si>
  <si>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</si>
  <si>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</si>
  <si>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</si>
  <si>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A</t>
  </si>
  <si>
    <t>GG</t>
  </si>
  <si>
    <t>VG</t>
  </si>
  <si>
    <t>EN</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</si>
  <si>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</si>
  <si>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</si>
  <si>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</si>
  <si>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</si>
  <si>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</si>
  <si>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</si>
  <si>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</si>
  <si>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</si>
  <si>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</si>
  <si>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</si>
  <si>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</si>
  <si>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</si>
  <si>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</si>
  <si>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</si>
  <si>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</si>
  <si>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</si>
  <si>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</si>
  <si>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</si>
  <si>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</si>
  <si>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</si>
  <si>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</si>
  <si>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</si>
  <si>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</si>
  <si>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</si>
  <si>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</si>
  <si>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</si>
  <si>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</si>
  <si>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</si>
  <si>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</si>
  <si>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</si>
  <si>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</si>
  <si>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</si>
  <si>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</si>
  <si>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</si>
  <si>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</si>
  <si>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</si>
  <si>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</si>
  <si>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</si>
  <si>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</si>
  <si>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</si>
  <si>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</si>
  <si>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</si>
  <si>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</si>
  <si>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</si>
  <si>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</si>
  <si>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</si>
  <si>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</si>
  <si>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</si>
  <si>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</si>
  <si>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</si>
  <si>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</si>
  <si>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</si>
  <si>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</si>
  <si>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</si>
  <si>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</si>
  <si>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</si>
  <si>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</si>
  <si>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</si>
  <si>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</si>
  <si>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</si>
  <si>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</si>
  <si>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</si>
  <si>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</si>
  <si>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</si>
  <si>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</si>
  <si>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</si>
  <si>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Vorleistungsgüterproduzenten</t>
  </si>
  <si>
    <t>Investitionsgüterproduzenten</t>
  </si>
  <si>
    <t>Gebrauchsgüterproduzenten</t>
  </si>
  <si>
    <t>Verbrauchsgüterproduzenten</t>
  </si>
  <si>
    <t>H. v. sonstigen chem. Erzeugnissen a. n. g.</t>
  </si>
  <si>
    <t>Stahl- und Leichtmetallbau</t>
  </si>
  <si>
    <t>4.</t>
  </si>
  <si>
    <t>5.</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</si>
  <si>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</si>
  <si>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</si>
  <si>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</si>
  <si>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</si>
  <si>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</si>
  <si>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</si>
  <si>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</si>
  <si>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</si>
  <si>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</si>
  <si>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</si>
  <si>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</si>
  <si>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</si>
  <si>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</si>
  <si>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</si>
  <si>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</si>
  <si>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</si>
  <si>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</si>
  <si>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</si>
  <si>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</si>
  <si>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</si>
  <si>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</si>
  <si>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</si>
  <si>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</si>
  <si>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</si>
  <si>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</si>
  <si>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</si>
  <si>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</si>
  <si>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</si>
  <si>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</si>
  <si>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</si>
  <si>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</si>
  <si>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</si>
  <si>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</si>
  <si>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</si>
  <si>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</si>
  <si>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</si>
  <si>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</si>
  <si>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</si>
  <si>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</si>
  <si>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</si>
  <si>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</si>
  <si>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</si>
  <si>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</si>
  <si>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</si>
  <si>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</si>
  <si>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</si>
  <si>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</si>
  <si>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</si>
  <si>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</si>
  <si>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</si>
  <si>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</si>
  <si>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</si>
  <si>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</si>
  <si>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</si>
  <si>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</si>
  <si>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</si>
  <si>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</si>
  <si>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</si>
  <si>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</si>
  <si>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</si>
  <si>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</si>
  <si>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</si>
  <si>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</si>
  <si>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</si>
  <si>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</si>
  <si>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</si>
  <si>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</si>
  <si>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</si>
  <si>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</si>
  <si>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</si>
  <si>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</si>
  <si>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</si>
  <si>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</si>
  <si>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</si>
  <si>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</si>
  <si>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</si>
  <si>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</si>
  <si>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</si>
  <si>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</si>
  <si>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</si>
  <si>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</si>
  <si>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</si>
  <si>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</si>
  <si>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</si>
  <si>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</si>
  <si>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</si>
  <si>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</si>
  <si>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</si>
  <si>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</si>
  <si>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</si>
  <si>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</si>
  <si>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</si>
  <si>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</si>
  <si>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</si>
  <si>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</si>
  <si>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</si>
  <si>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</si>
  <si>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</si>
  <si>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</si>
  <si>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</si>
  <si>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</si>
  <si>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</si>
  <si>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</si>
  <si>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</si>
  <si>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</si>
  <si>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</si>
  <si>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</si>
  <si>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</si>
  <si>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</si>
  <si>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</si>
  <si>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</si>
  <si>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</si>
  <si>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</si>
  <si>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</si>
  <si>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</si>
  <si>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</si>
  <si>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</si>
  <si>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</si>
  <si>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</si>
  <si>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</si>
  <si>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</si>
  <si>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</si>
  <si>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</si>
  <si>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</si>
  <si>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</si>
  <si>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</si>
  <si>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</si>
  <si>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Pumpen und Kompressoren a. n. g.</t>
  </si>
  <si>
    <t>H. v. Armaturen a. n. g.</t>
  </si>
  <si>
    <t>H. v. Erzeugnissen a. n. g.</t>
  </si>
  <si>
    <t xml:space="preserve">Ver-
änderung 
gegen-
über dem 
Vorjahr </t>
  </si>
  <si>
    <t>H. v. sonstigen Metallwaren a. n. g.</t>
  </si>
  <si>
    <t>Mechanik a. n. g.</t>
  </si>
  <si>
    <t>Drucken a. n. g.</t>
  </si>
  <si>
    <t>H. v. sonst.Nahrungsmitteln a. n. g.</t>
  </si>
  <si>
    <t>H.v.  Hebezeugen und Fördermitteln</t>
  </si>
  <si>
    <t>H. v. Karosserien, Aufbauten und Anhägern</t>
  </si>
  <si>
    <t>H. v. elektro.  Bauelementen und Leiterplatten</t>
  </si>
  <si>
    <t>Export-quote 
in %</t>
  </si>
  <si>
    <t xml:space="preserve">2. Umsatz, Auslandsumsatz, Exportquote und Umsatz aus Eigenerzeugung im Verarbeitenden Gewerbe </t>
  </si>
  <si>
    <t>darunter
 Auslands-
umsatz</t>
  </si>
  <si>
    <t>H. v. Erzeugnissen aus Beton, Zement 
  und Kalksandstein für den Bau</t>
  </si>
  <si>
    <t>– Veränderung gegenüber dem Vorjahr in % –</t>
  </si>
  <si>
    <t xml:space="preserve">3. Betriebe, Tätige Personen und Bruttoentgelte im Verarbeitenden Gewerbe sowie Bergbau </t>
  </si>
  <si>
    <t>KREISFREIE STADT
Kreis
Land</t>
  </si>
  <si>
    <t>KREISFREIE STADT 
Kreis
Land</t>
  </si>
  <si>
    <t>4. Umsatz, Auslandsumsatz und Exportquote im Verarbeitenden Gewerbe sowie Bergbau</t>
  </si>
  <si>
    <t>Umsatz in 1 000 Euro</t>
  </si>
  <si>
    <t>5. Betriebe, Tätige Personen, Bruttoentgelte, Umsatz und Auslandsumsatz im Verarbeitenden Gewerbe</t>
  </si>
  <si>
    <t>(endgültige Ergebnisse)</t>
  </si>
  <si>
    <t>darunter
Auslandsumsatz</t>
  </si>
  <si>
    <r>
      <t>Anzahl</t>
    </r>
    <r>
      <rPr>
        <vertAlign val="superscript"/>
        <sz val="9"/>
        <rFont val="Arial Narrow"/>
        <family val="2"/>
      </rPr>
      <t>1</t>
    </r>
  </si>
  <si>
    <r>
      <t>1995</t>
    </r>
    <r>
      <rPr>
        <vertAlign val="superscript"/>
        <sz val="9"/>
        <color indexed="8"/>
        <rFont val="Arial Narrow"/>
        <family val="2"/>
      </rPr>
      <t>a</t>
    </r>
  </si>
  <si>
    <r>
      <t>2009</t>
    </r>
    <r>
      <rPr>
        <vertAlign val="superscript"/>
        <sz val="9"/>
        <rFont val="Arial Narrow"/>
        <family val="2"/>
      </rPr>
      <t>b</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</si>
  <si>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</si>
  <si>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</si>
  <si>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</si>
  <si>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Methodik und Begriffsdefinitionen</t>
  </si>
  <si>
    <t>sowie Bergbau und Gewinnung von Steinen und Erden in Schleswig-Holstein</t>
  </si>
  <si>
    <t xml:space="preserve">© Statistisches Amt für Hamburg und Schleswig-Holstein, Hamburg 2014         </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</si>
  <si>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</si>
  <si>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</si>
  <si>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</si>
  <si>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</si>
  <si>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</si>
  <si>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</si>
  <si>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</si>
  <si>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Umsatz der Betriebe im Verarbeitenden Gewerbe sowie Bergbau und Gewinnung von Steinen und Erden
   in Schleswig-Holstein im Jahr 2013 - Veränderung in ausgewählten Wirtschaftszweigen 
  gegenüber dem Vorjahr</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</si>
  <si>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</si>
  <si>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</si>
  <si>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</si>
  <si>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</si>
  <si>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</si>
  <si>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</si>
  <si>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</si>
  <si>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</si>
  <si>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</si>
  <si>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</si>
  <si>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</si>
  <si>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</si>
  <si>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</si>
  <si>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</si>
  <si>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</si>
  <si>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</si>
  <si>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</si>
  <si>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</si>
  <si>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</si>
  <si>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</si>
  <si>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</si>
  <si>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</si>
  <si>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</si>
  <si>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</si>
  <si>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</si>
  <si>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</si>
  <si>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</si>
  <si>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</si>
  <si>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</si>
  <si>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</si>
  <si>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</si>
  <si>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</si>
  <si>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</si>
  <si>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</si>
  <si>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</si>
  <si>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</si>
  <si>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</si>
  <si>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</si>
  <si>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</si>
  <si>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</si>
  <si>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</si>
  <si>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 v.</t>
  </si>
  <si>
    <t>Herstellung von</t>
  </si>
  <si>
    <t xml:space="preserve"> </t>
  </si>
  <si>
    <t>Sofern in den Produkten auf das Vorhandensein von Copyrightrechten Dritter 
hingewiesen wird, sind die in deren Produkten ausgewiesenen Copyrightbestimmungen 
zu wahren. Alle übrigen Rechte bleiben vorbehalten.</t>
  </si>
  <si>
    <t>H.v. sonstigen nicht wirtschaftszweig- 
spezifischen Maschinen</t>
  </si>
  <si>
    <t>H. v. Lagern, Getrieben, Zahnrädern und 
Antriebselementen</t>
  </si>
  <si>
    <t>H.v. nichtwirtschaftszweigspezifischen 
Maschinen</t>
  </si>
  <si>
    <t>H. v. sonstigen elektrischen Ausrüstungen 
und Geräten a. n. g.</t>
  </si>
  <si>
    <t>H. v. Elektrizitätsverteilungs- und 
-schalteinrichtungen</t>
  </si>
  <si>
    <t>H. v. Elektromotoren, Generatoren und 
Transformatoren</t>
  </si>
  <si>
    <t>H. v. Elektromotoren, Generatoren, Transfor-
matoren, Elektrizitätsverteilungs- und 
-schalteinrichtungen</t>
  </si>
  <si>
    <t>H. v. Mess-, Kontroll-, Navigations- u. ä. 
Instrumenten und Vorrichtungen; H. v. Uhren</t>
  </si>
  <si>
    <t>H. v. Schmiede-, Press-, Zieh- und Stanzteilen, 
gewalzten Ringen und pulvermetallurgischen 
Erzeugnissen</t>
  </si>
  <si>
    <t>Oberfächenveredlung u. Wärmebehandlung, 
Mechanik a. n .g.</t>
  </si>
  <si>
    <t xml:space="preserve">H. v. Schneidwaren, Schlössern, Werkzeugen 
und Beschlägen aus unedlen Metallen </t>
  </si>
  <si>
    <t>H. v. Datenverarbeitungsgeräten, elektro-
nischen und optischen Erzeugnissen</t>
  </si>
  <si>
    <t>H. v. Geräten und Einrichtungen der 
Telekommunikationstechnik</t>
  </si>
  <si>
    <t>H. v. optischen und fotografischen
Instrumenten und Geräten</t>
  </si>
  <si>
    <t>H. v. Maschinen f. d. Nahrungs - u. Genuss-
mittelerzeugung und die Tabakverarbeitung</t>
  </si>
  <si>
    <t>H. v. Maschinen für sonstige bestimmte 
Wirtschaftszweige a. n. g.</t>
  </si>
  <si>
    <t>H. v. medizinischen u. zahmedizinischen 
Apparaten und Materialien</t>
  </si>
  <si>
    <t>Reparatur und Installation von Maschinen 
und Ausrüstungen</t>
  </si>
  <si>
    <t>Reparatur von Metallerzeugnissen, 
Maschinen und Ausrüstungen</t>
  </si>
  <si>
    <t>Reparatur und Instandhaltung von Schiffen, 
Booten und Yachten</t>
  </si>
  <si>
    <t>Installation von Maschinen und 
Ausrüstungen a. n. g.</t>
  </si>
  <si>
    <t>H.v. sonstigen nicht wirtschaftszweig- 
spezifischen Maschinen a. n. g.</t>
  </si>
  <si>
    <t>H.v. Maschinen für sonstige bestimmte 
Wirtschaftszweige</t>
  </si>
  <si>
    <t>H. v. sonst. Erzeugnissen aus nicht-
metallischen Mineralien a. n. g.</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</si>
  <si>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</si>
  <si>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</si>
  <si>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</si>
  <si>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</si>
  <si>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</si>
  <si>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</si>
  <si>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H. v. Druckerzeugnissen; Vervielfältigung von 
bespielten Ton-, Bild- und Datenträgern</t>
  </si>
  <si>
    <t>Binden v. Druckerzeugnissen und damit 
verbundene Dienstleistungen</t>
  </si>
  <si>
    <t>H. v. chemischen Grundstoffen, Düngemitteln 
und Stickstoffverbindungen, Kunststoffen in 
Primärformen u. synthet. Kautschuk in 
Primärformen</t>
  </si>
  <si>
    <t>H. v. Seifen, Wasch-, Reinigungs- und 
Poliermitteln</t>
  </si>
  <si>
    <t>H. v. Platten, Folien, Schläuchen und Profilen 
aus Kunststoff</t>
  </si>
  <si>
    <t>H. v. Glas und Glaswaren, Keramik, 
Verarbeitung von Steinen und Erden</t>
  </si>
  <si>
    <t>Herstellung, Veredlung und Bearbeitung von 
sonst. Glas einschließl. techn. Glaswaren</t>
  </si>
  <si>
    <t>H. v. Schleifkörpern und Schleifmitteln auf 
Unterlage sowie sonst.Erzeugnissen auf 
nichtmetallischen  Mineralien a. n. g.</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</si>
  <si>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</si>
  <si>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</si>
  <si>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</si>
  <si>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und synthetischem Kautschuk
in Primärformen</t>
  </si>
  <si>
    <t>H. v. Erzeugnissen aus Beton, Zement und 
Kalksandstein für den Bau</t>
  </si>
  <si>
    <t>H. v. sonst. Erzeugnissen aus nichtmetallischen 
Mineralien a. n. g.</t>
  </si>
  <si>
    <t>H. v. Schmiede-, Press-, Zieh- und Stanzteilen, 
gewalzten Ringen und pulvermetallurgischen
Erzeugnissen</t>
  </si>
  <si>
    <t>Oberfächenveredlung u.Wärmebehandlung, 
Mechanik a. n. g.</t>
  </si>
  <si>
    <t>H. v. Datenverarbeitungsgeräten, elektronischen 
und optischen Erzeugnissen</t>
  </si>
  <si>
    <t>H. v. Bestrahlungs - u. Elektrotherapiegeräten 
sowie elektromedizinische Geräte</t>
  </si>
  <si>
    <t>H. v. optischen und fotografischen Instrumenten 
und Geräten</t>
  </si>
  <si>
    <t>H. v. Maschinen f. d. Nahrungs - und Genuss-
mittelerzeugung und die Tabakverarbeitung</t>
  </si>
  <si>
    <t>Reparatur und Installation von Maschinen
und Ausrüstungen</t>
  </si>
  <si>
    <t>Reparatur von Metallerzeugnissen, Maschinen 
und Ausrüstungen</t>
  </si>
  <si>
    <t>Installation von Maschinen und
Ausrüstungen a. n. g.</t>
  </si>
  <si>
    <t>Schl.</t>
  </si>
  <si>
    <t>Branchen</t>
  </si>
  <si>
    <t>Veränd.
in %</t>
  </si>
  <si>
    <t>10 H.v. Nahrungsmitteln</t>
  </si>
  <si>
    <t>18 H.v. Druckerzeugnissen</t>
  </si>
  <si>
    <t>19 Kokerei u. Mineralölverarb.</t>
  </si>
  <si>
    <t>20 H.v. chemischen Erzeugnissen</t>
  </si>
  <si>
    <t>21 H.v. pharmazeut. Erzeugnissen</t>
  </si>
  <si>
    <t>22 H.v. Gummi/Kunststoff</t>
  </si>
  <si>
    <t>24 Metallerzeugung</t>
  </si>
  <si>
    <t>25 H.v. Metallerzeugnissen</t>
  </si>
  <si>
    <t>26 H.v. elektron. Erzeugnissen</t>
  </si>
  <si>
    <t>27 H.v. Elektromotoren</t>
  </si>
  <si>
    <t>28 H.v. Maschinen</t>
  </si>
  <si>
    <t>30 Sonstiger Fahrzeugbau</t>
  </si>
  <si>
    <t>314</t>
  </si>
  <si>
    <t>32 H.v. sonstigen Waren</t>
  </si>
  <si>
    <t>315</t>
  </si>
  <si>
    <t>33 Reparatur von Maschinen</t>
  </si>
  <si>
    <t>B + C Verarbeitendes Gewerbe</t>
  </si>
  <si>
    <t>Veränderung in ausgewählten Wirtschaftszweigen gegenüber dem Vorjahr in %</t>
  </si>
  <si>
    <t>11 Getränkeherstellung</t>
  </si>
  <si>
    <t>13 H.v. Textilien</t>
  </si>
  <si>
    <t>16 H.v. Holzwaren</t>
  </si>
  <si>
    <t>17 H.v. Papier, Pappe</t>
  </si>
  <si>
    <t>23 H.v. Glas, Glaswaren</t>
  </si>
  <si>
    <t>29 H.v. Kraftwagen</t>
  </si>
  <si>
    <t>313</t>
  </si>
  <si>
    <t>31  H.v. Möbeln</t>
  </si>
  <si>
    <t xml:space="preserve">Ver-
änderung 
gegenüber 
dem Vorjahr </t>
  </si>
  <si>
    <t>– endgültige Ergebnisse –</t>
  </si>
  <si>
    <t xml:space="preserve">· </t>
  </si>
  <si>
    <t>Beschäftigte</t>
  </si>
  <si>
    <t xml:space="preserve"> 2015</t>
  </si>
  <si>
    <t>Kennziffer: E I 1 - j 16 SH</t>
  </si>
  <si>
    <t>und Erden in Schleswig-Holstein 2016</t>
  </si>
  <si>
    <t>© Statistisches Amt für Hamburg und Schleswig-Holstein, Hamburg 2017</t>
  </si>
  <si>
    <t>Betriebe, Tätige Personen und Bruttoentgelte im Verarbeitenden Gewerbe sowie Bergbau sowie Bergbau und
Gewinnung von Steinen und Erden in Schleswig-Holstein nach Wirtschaftszweigen im Berichtsjahr 2016
(endgültige Ergebnisse)</t>
  </si>
  <si>
    <t>Umsatz, Auslandsumsatz, Exportquote und  Umsatz aus Eigenerzeugung im Verarbeitenden Gewerbe 
sowie Bergbau und Gewinnung von Steinen und Erden in Schleswig-Holstein 
nach Wirtschaftszweigen im Berichtsjahr 2016 (endgültige Ergebnisse)</t>
  </si>
  <si>
    <t>Umsatz, Auslandsumsatz und Exportquote im Verarbeitenden Gewerbe sowie Bergbau und Gewinnung 
von Steinen und Erden in Schleswig-Holstein 2016 nach Kreisen (endgültige Ergebnisse)</t>
  </si>
  <si>
    <t>Betriebe, Tätige Personen, Bruttoentgelte, Umsatz und Auslandsumsatz im Verarbeitenden Gewerbe 
sowie Bergbau und Gewinnung von Steinen und Erden in Schleswig-Holstein 1980 - 2016
(endgültige Ergebnisse)</t>
  </si>
  <si>
    <t>Tätige Personen der Betriebe im Verarbeitenden Gewerbe sowie Bergbau und Gewinnung von Steinen und 
und Erden in Schleswig-Holstein im Jahr 2016 - Veränderung in ausgewählten Wirtschaftszweigen 
gegenüber dem Vorjahr (endgültige Ergebnisse)</t>
  </si>
  <si>
    <t>Umsatz der Betriebe im Verarbeitenden Gewerbe sowie Bergbau und Gewinnung von Steinen und Erden
in Schleswig-Holstein im Jahr 2016 - Veränderung in ausgewählten Wirtschaftszweigen 
gegenüber dem Vorjahr (endgültige Ergebnisse)</t>
  </si>
  <si>
    <t>2016</t>
  </si>
  <si>
    <t>1. Betriebe, Tätige Personen und Bruttoentgelte im Verarbeitenden Gewerbe sowie Bergbau 
und Gewinnung von Steinen und Erden in Schleswig-Holstein nach Wirtschaftszweigen im Berichtsjahr 2016
(endgültige Ergebnisse)</t>
  </si>
  <si>
    <t xml:space="preserve"> nach Wirtschaftszweigen im Berichtsjahr 2016 (endgültige Ergebnisse)</t>
  </si>
  <si>
    <t>und Gewinnung von Steinen und Erden in Schleswig-Holstein 2016 nach Kreisen</t>
  </si>
  <si>
    <t>sowie Bergbau und Gewinnung von Steinen und Erden in Schleswig-Holstein 1980 - 2016
(endgültige Ergebnisse)</t>
  </si>
  <si>
    <t>Grafik 1: Tätige Personen, Gesamtumsatz und Auslandsumsatz der Betriebe im Verarbeitenden Gewerbe sowie Bergbau und Gewinnung von Steinen und Erden in Schleswig-Holstein
1996 bis 2016</t>
  </si>
  <si>
    <t xml:space="preserve"> 2016</t>
  </si>
  <si>
    <t>Grafik 3: Umsatz der Betriebe im Verarbeitenden Gewerbe sowie Bergbau und Gewinnung von Steinen und Erden in Schleswig-Holstein im Jahr 2016</t>
  </si>
  <si>
    <t>Grafik 2: Tätige Personen der Betriebe im Verarbeitenden Gewerbe sowie Bergbau und Gewinnung von Steinen und Erden in Schleswig-Holstein im Jahr 2016</t>
  </si>
  <si>
    <t>1 305 432</t>
  </si>
  <si>
    <t>476 696</t>
  </si>
  <si>
    <t>828 736</t>
  </si>
  <si>
    <t>3 308 710</t>
  </si>
  <si>
    <t>1 606 507</t>
  </si>
  <si>
    <t>1 702 203</t>
  </si>
  <si>
    <t xml:space="preserve">x   </t>
  </si>
  <si>
    <t>sowie Bergbau und Gewinnung von Steinen und Erden in Schleswig-Holstein 1996 - 2016
(endgültige Ergebnisse)</t>
  </si>
  <si>
    <t>Betriebe, Tätige Personen und Bruttoentgelte im Verarbeitenden Gewerbe sowie Bergbau und Gewinnung 
von Steinen und Erden in Schleswig-Holstein 2016 nach Kreisen (endgültige Ergebnisse)</t>
  </si>
  <si>
    <t>Tätige Personen, Gesamtumsatz und Auslandsumsatz der Betriebe im Verarbeitenden Gewerbe sowie Bergbau 
und Gewinnung von Steinen und Erden in Schleswig-Holstein von 1996 - 2016 (endgültige Ergebnisse)</t>
  </si>
  <si>
    <t>Herausgegeben am: 23.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</si>
</sst>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3" formatCode="_-* #,##0.00\ _€_-;\-* #,##0.00\ _€_-;_-* &quot;-&quot;??\ _€_-;_-@_-"/>
    <numFmt numFmtId="164" formatCode="###\ ###\ ###\ ###"/>
    <numFmt numFmtId="165" formatCode="@*."/>
    <numFmt numFmtId="166" formatCode="#\ ##0.0;\-\ #\ ##0.0;\–"/>
    <numFmt numFmtId="167" formatCode="0.0;\-\ 0.0"/>
    <numFmt numFmtId="168" formatCode="#\ ###\ ##0"/>
    <numFmt numFmtId="169" formatCode="\ #\ ###\ ##0"/>
    <numFmt numFmtId="170" formatCode="0.0"/>
    <numFmt numFmtId="171" formatCode="#\ ###\ ###;\-#\ ###\ ###;\-"/>
    <numFmt numFmtId="172" formatCode="#,##0\ &quot;DM&quot;;[Red]\-#,##0\ &quot;DM&quot;"/>
    <numFmt numFmtId="173" formatCode="0;[Red]0"/>
    <numFmt numFmtId="174" formatCode="#,##0.0_ ;\-#,##0.0\ "/>
    <numFmt numFmtId="175" formatCode=";;;"/>
    <numFmt numFmtId="176" formatCode="\ ##\ ###\ ##0.0\ \ ;\ \–#\ ###\ ##0.0\ \ ;\ * \–\ \ ;\ * @\ \ "/>
    <numFmt numFmtId="177" formatCode="\ #\ ###\ ###\ ##0\ \ ;\ \–###\ ###\ ##0\ \ ;\ * \–\ \ ;\ * @\ \ "/>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_-* #,##0.00\ [$€]_-;\-* #,##0.00\ [$€]_-;_-* &quot;-&quot;??\ [$€]_-;_-@_-"/>
    <numFmt numFmtId="183" formatCode="#\ ###\ ##0&quot; Tsd&quot;"/>
    <numFmt numFmtId="184" formatCode="0\ &quot;%&quot;"/>
    <numFmt numFmtId="185" formatCode="#\ ###\ ##0&quot; TDM&quot;"/>
    <numFmt numFmtId="186" formatCode="#\ ###\ ##0&quot; TEuro&quot;"/>
    <numFmt numFmtId="187" formatCode="#\ ##0\ ##0\ "/>
    <numFmt numFmtId="188" formatCode="\ ??0.0\ \ ;\ * \–??0.0\ \ ;\ * \–\ \ ;\ * @\ \ "/>
    <numFmt numFmtId="189" formatCode="###\ ###\ ###__"/>
    <numFmt numFmtId="190" formatCode="###\ ###__"/>
    <numFmt numFmtId="191" formatCode="###\ ##0.0__"/>
    <numFmt numFmtId="192" formatCode="###\ ###\ ##0.0__"/>
    <numFmt numFmtId="193" formatCode="_(&quot;$&quot;* #,##0.00_);_(&quot;$&quot;* \(#,##0.00\);_(&quot;$&quot;* &quot;-&quot;??_);_(@_)"/>
    <numFmt numFmtId="194" formatCode="\ \ 0.00\ \ "/>
    <numFmt numFmtId="195" formatCode="\ \ 0.0\ \ "/>
    <numFmt numFmtId="196" formatCode="#\ ###\ ##0\ ;\-\ #\ ###\ ##0\ ;&quot;– &quot;"/>
    <numFmt numFmtId="197" formatCode="##0.0\ ;\-\ ##0.0\ ;&quot;– &quot;\ \ \ "/>
    <numFmt numFmtId="198" formatCode="##\ ###\ ##0\ ;\-\ ##\ ###\ ##0\ ;&quot;– &quot;"/>
    <numFmt numFmtId="199" formatCode="#0.0\ \ \ ;\-\ #0.0\ \ \ ;&quot;0   &quot;"/>
    <numFmt numFmtId="200" formatCode="##\ ###\ ##0\ \ \ \ ;\-\ ##\ ###\ ##0\ \ \ \ ;&quot;–    &quot;"/>
    <numFmt numFmtId="201" formatCode="##0.0\ \ \ ;\-\ ##0.0\ \ \ ;&quot;– &quot;\ \ \ "/>
    <numFmt numFmtId="202" formatCode="###\ ###\ ##0;\-###\ ###\ ##0;\-"/>
    <numFmt numFmtId="203" formatCode="###\ ##0.0;\-###\ ##0.0;\-"/>
    <numFmt numFmtId="204" formatCode="0.0_ ;\-0.0\ "/>
  </numFmts>
  <fonts count="92">
    <font>
      <sz val="10"/>
      <name val="Arial"/>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u/>
      <sz val="10"/>
      <color theme="10"/>
      <name val="Arial"/>
      <family val="2"/>
    </font>
    <fon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b/>
      <u/>
      <sz val="11"/>
      <color indexed="12"/>
      <name val="Arial"/>
      <family val="2"/>
    </font>
    <font>
      <vertAlign val="superscript"/>
      <sz val="9"/>
      <name val="Arial Narrow"/>
      <family val="2"/>
    </font>
    <font>
      <sz val="9"/>
      <color indexed="8"/>
      <name val="Arial Narrow"/>
      <family val="2"/>
    </font>
    <font>
      <vertAlign val="superscript"/>
      <sz val="9"/>
      <color indexed="8"/>
      <name val="Arial Narrow"/>
      <family val="2"/>
    </font>
    <font>
      <sz val="8"/>
      <name val="Arial Narrow"/>
      <family val="2"/>
    </font>
    <font>
      <vertAlign val="superscript"/>
      <sz val="8"/>
      <name val="Arial Narrow"/>
      <family val="2"/>
    </font>
    <font>
      <sz val="10"/>
      <name val="Arial Narrow"/>
      <family val="2"/>
    </font>
    <font>
      <b/>
      <sz val="12"/>
      <name val="Arial"/>
      <family val="2"/>
    </font>
    <font>
      <b/>
      <sz val="12"/>
      <color theme="1"/>
      <name val="Arial"/>
      <family val="2"/>
    </font>
    <font>
      <b/>
      <sz val="10"/>
      <color theme="1"/>
      <name val="Arial"/>
      <family val="2"/>
    </font>
    <font>
      <sz val="10"/>
      <color indexed="8"/>
      <name val="MS Sans Serif"/>
      <family val="2"/>
    </font>
    <font>
      <sz val="7"/>
      <name val="Arial"/>
      <family val="2"/>
    </font>
    <font>
      <b/>
      <sz val="8"/>
      <name val="Arial"/>
      <family val="2"/>
    </font>
    <font>
      <u/>
      <sz val="10"/>
      <color theme="10"/>
      <name val="MS Sans Serif"/>
      <family val="2"/>
    </font>
    <font>
      <sz val="7"/>
      <color indexed="8"/>
      <name val="Arial"/>
      <family val="2"/>
    </font>
    <font>
      <b/>
      <sz val="10"/>
      <color indexed="8"/>
      <name val="Arial"/>
      <family val="2"/>
    </font>
    <font>
      <sz val="10"/>
      <color indexed="8"/>
      <name val="Arial"/>
      <family val="2"/>
    </font>
    <font>
      <b/>
      <sz val="7"/>
      <name val="Arial"/>
      <family val="2"/>
    </font>
    <font>
      <sz val="11"/>
      <color indexed="8"/>
      <name val="Calibri"/>
      <family val="2"/>
    </font>
    <font>
      <sz val="11"/>
      <color indexed="9"/>
      <name val="Calibri"/>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51">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
      <patternFill patternType="solid">
        <fgColor theme="0"/>
        <bgColor indexed="64"/>
      </patternFill>
    </fill>
    <fill>
      <patternFill patternType="solid">
        <fgColor rgb="FF1E4B7D"/>
        <bgColor indexed="64"/>
      </patternFill>
    </fill>
    <fill>
      <patternFill patternType="solid">
        <fgColor indexed="43"/>
        <bgColor indexed="64"/>
      </patternFill>
    </fill>
    <fill>
      <patternFill patternType="solid">
        <fgColor indexed="47"/>
        <bgColor indexed="64"/>
      </patternFill>
    </fill>
    <fill>
      <patternFill patternType="solid">
        <fgColor indexed="60"/>
        <bgColor indexed="8"/>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05A88"/>
      </left>
      <right style="thin">
        <color rgb="FF105A88"/>
      </right>
      <top style="thin">
        <color rgb="FF105A88"/>
      </top>
      <bottom/>
      <diagonal/>
    </border>
    <border>
      <left/>
      <right style="thin">
        <color rgb="FF105A88"/>
      </right>
      <top/>
      <bottom style="thin">
        <color rgb="FF105A88"/>
      </bottom>
      <diagonal/>
    </border>
    <border>
      <left style="thin">
        <color rgb="FF105A88"/>
      </left>
      <right style="thin">
        <color rgb="FF105A88"/>
      </right>
      <top/>
      <bottom style="thin">
        <color rgb="FF105A88"/>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459">
    <xf numFmtId="0" fontId="0" fillId="0" borderId="0"/>
    <xf numFmtId="0" fontId="12" fillId="0" borderId="0"/>
    <xf numFmtId="0" fontId="13" fillId="0" borderId="0"/>
    <xf numFmtId="0" fontId="11" fillId="0" borderId="0"/>
    <xf numFmtId="0" fontId="10" fillId="0" borderId="0"/>
    <xf numFmtId="0" fontId="10" fillId="0" borderId="0" applyFill="0" applyAlignment="0"/>
    <xf numFmtId="0" fontId="21" fillId="0" borderId="0" applyFill="0" applyBorder="0" applyAlignment="0"/>
    <xf numFmtId="0" fontId="14" fillId="0" borderId="0" applyFill="0" applyBorder="0" applyAlignment="0"/>
    <xf numFmtId="0" fontId="22" fillId="0" borderId="0"/>
    <xf numFmtId="0" fontId="23" fillId="0" borderId="0" applyNumberFormat="0" applyFill="0" applyBorder="0" applyAlignment="0" applyProtection="0"/>
    <xf numFmtId="0" fontId="10" fillId="0" borderId="0"/>
    <xf numFmtId="0" fontId="6" fillId="0" borderId="0"/>
    <xf numFmtId="0" fontId="4" fillId="0" borderId="0"/>
    <xf numFmtId="0" fontId="5" fillId="0" borderId="0"/>
    <xf numFmtId="0" fontId="13" fillId="0" borderId="0"/>
    <xf numFmtId="0" fontId="10" fillId="0" borderId="0"/>
    <xf numFmtId="0" fontId="5" fillId="0" borderId="0"/>
    <xf numFmtId="0" fontId="5" fillId="0" borderId="0"/>
    <xf numFmtId="0" fontId="40" fillId="0" borderId="0"/>
    <xf numFmtId="0" fontId="5" fillId="0" borderId="0"/>
    <xf numFmtId="0" fontId="5" fillId="0" borderId="0"/>
    <xf numFmtId="0" fontId="22" fillId="0" borderId="0"/>
    <xf numFmtId="0" fontId="5" fillId="0" borderId="0"/>
    <xf numFmtId="0" fontId="43" fillId="0" borderId="0" applyNumberFormat="0" applyFill="0" applyBorder="0" applyAlignment="0" applyProtection="0"/>
    <xf numFmtId="0" fontId="13" fillId="0" borderId="0"/>
    <xf numFmtId="0" fontId="3" fillId="0" borderId="0" applyFill="0" applyAlignment="0"/>
    <xf numFmtId="0" fontId="3" fillId="0" borderId="0"/>
    <xf numFmtId="0" fontId="5" fillId="0" borderId="0"/>
    <xf numFmtId="0" fontId="13" fillId="0" borderId="0"/>
    <xf numFmtId="0" fontId="2" fillId="0" borderId="0" applyFill="0" applyAlignment="0"/>
    <xf numFmtId="0" fontId="2" fillId="0" borderId="0"/>
    <xf numFmtId="0" fontId="2" fillId="0" borderId="0"/>
    <xf numFmtId="0" fontId="1" fillId="0" borderId="0"/>
    <xf numFmtId="0" fontId="1" fillId="0" borderId="0" applyFill="0" applyAlignment="0"/>
    <xf numFmtId="0" fontId="13" fillId="0" borderId="0"/>
    <xf numFmtId="0" fontId="1" fillId="0" borderId="0"/>
    <xf numFmtId="0" fontId="1" fillId="0" borderId="0"/>
    <xf numFmtId="0" fontId="1" fillId="0" borderId="0"/>
    <xf numFmtId="0" fontId="22" fillId="0" borderId="0"/>
    <xf numFmtId="0" fontId="1" fillId="0" borderId="0"/>
    <xf numFmtId="0" fontId="13" fillId="0" borderId="0"/>
    <xf numFmtId="0" fontId="22" fillId="0" borderId="0"/>
    <xf numFmtId="0" fontId="22" fillId="0" borderId="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3" fillId="0" borderId="0" applyNumberFormat="0" applyFill="0" applyBorder="0" applyAlignment="0" applyProtection="0"/>
    <xf numFmtId="43" fontId="22" fillId="0" borderId="0" applyFont="0" applyFill="0" applyBorder="0" applyAlignment="0" applyProtection="0"/>
    <xf numFmtId="0" fontId="1" fillId="0" borderId="0"/>
    <xf numFmtId="0" fontId="1" fillId="0" borderId="0"/>
    <xf numFmtId="0" fontId="13" fillId="0" borderId="0"/>
    <xf numFmtId="0" fontId="5" fillId="0" borderId="0"/>
    <xf numFmtId="0" fontId="5" fillId="0" borderId="0"/>
    <xf numFmtId="0" fontId="1" fillId="0" borderId="0"/>
    <xf numFmtId="0" fontId="13"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3" fillId="0" borderId="0"/>
    <xf numFmtId="0" fontId="13" fillId="0" borderId="0"/>
    <xf numFmtId="0" fontId="5" fillId="0" borderId="0"/>
    <xf numFmtId="0" fontId="22" fillId="0" borderId="0"/>
    <xf numFmtId="0" fontId="43" fillId="0" borderId="0" applyNumberFormat="0" applyFill="0" applyBorder="0" applyAlignment="0" applyProtection="0"/>
    <xf numFmtId="0" fontId="1" fillId="0" borderId="0"/>
    <xf numFmtId="0" fontId="13" fillId="0" borderId="0"/>
    <xf numFmtId="0" fontId="5" fillId="0" borderId="0"/>
    <xf numFmtId="0" fontId="50" fillId="21" borderId="0" applyNumberFormat="0" applyBorder="0" applyAlignment="0" applyProtection="0"/>
    <xf numFmtId="0" fontId="50" fillId="12" borderId="0" applyNumberFormat="0" applyBorder="0" applyAlignment="0" applyProtection="0"/>
    <xf numFmtId="0" fontId="50" fillId="27" borderId="0" applyNumberFormat="0" applyBorder="0" applyAlignment="0" applyProtection="0"/>
    <xf numFmtId="0" fontId="50" fillId="17" borderId="0" applyNumberFormat="0" applyBorder="0" applyAlignment="0" applyProtection="0"/>
    <xf numFmtId="0" fontId="50" fillId="21" borderId="0" applyNumberFormat="0" applyBorder="0" applyAlignment="0" applyProtection="0"/>
    <xf numFmtId="0" fontId="50" fillId="12" borderId="0" applyNumberFormat="0" applyBorder="0" applyAlignment="0" applyProtection="0"/>
    <xf numFmtId="0" fontId="50" fillId="28" borderId="0" applyNumberFormat="0" applyBorder="0" applyAlignment="0" applyProtection="0"/>
    <xf numFmtId="0" fontId="50" fillId="12" borderId="0" applyNumberFormat="0" applyBorder="0" applyAlignment="0" applyProtection="0"/>
    <xf numFmtId="0" fontId="50" fillId="27" borderId="0" applyNumberFormat="0" applyBorder="0" applyAlignment="0" applyProtection="0"/>
    <xf numFmtId="0" fontId="50" fillId="29" borderId="0" applyNumberFormat="0" applyBorder="0" applyAlignment="0" applyProtection="0"/>
    <xf numFmtId="0" fontId="50" fillId="28" borderId="0" applyNumberFormat="0" applyBorder="0" applyAlignment="0" applyProtection="0"/>
    <xf numFmtId="0" fontId="50" fillId="12" borderId="0" applyNumberFormat="0" applyBorder="0" applyAlignment="0" applyProtection="0"/>
    <xf numFmtId="0" fontId="51" fillId="20" borderId="0" applyNumberFormat="0" applyBorder="0" applyAlignment="0" applyProtection="0"/>
    <xf numFmtId="0" fontId="51" fillId="12" borderId="0" applyNumberFormat="0" applyBorder="0" applyAlignment="0" applyProtection="0"/>
    <xf numFmtId="0" fontId="51" fillId="30" borderId="0" applyNumberFormat="0" applyBorder="0" applyAlignment="0" applyProtection="0"/>
    <xf numFmtId="0" fontId="51" fillId="14" borderId="0" applyNumberFormat="0" applyBorder="0" applyAlignment="0" applyProtection="0"/>
    <xf numFmtId="0" fontId="51" fillId="20" borderId="0" applyNumberFormat="0" applyBorder="0" applyAlignment="0" applyProtection="0"/>
    <xf numFmtId="0" fontId="51" fillId="12"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34" borderId="0" applyNumberFormat="0" applyBorder="0" applyAlignment="0" applyProtection="0"/>
    <xf numFmtId="1" fontId="52" fillId="8" borderId="0">
      <alignment horizontal="center" vertical="center"/>
    </xf>
    <xf numFmtId="0" fontId="53" fillId="0" borderId="15">
      <alignment horizontal="center" vertical="center"/>
      <protection locked="0"/>
    </xf>
    <xf numFmtId="0" fontId="13" fillId="0" borderId="0" applyNumberFormat="0" applyAlignment="0">
      <alignment horizontal="centerContinuous"/>
    </xf>
    <xf numFmtId="175" fontId="54" fillId="35" borderId="28" applyFont="0" applyBorder="0" applyAlignment="0">
      <alignment horizontal="right"/>
    </xf>
    <xf numFmtId="0" fontId="55" fillId="36" borderId="29" applyNumberFormat="0" applyAlignment="0" applyProtection="0"/>
    <xf numFmtId="176" fontId="41" fillId="0" borderId="0">
      <alignment horizontal="right"/>
    </xf>
    <xf numFmtId="177" fontId="41" fillId="0" borderId="0">
      <alignment horizontal="right"/>
    </xf>
    <xf numFmtId="0" fontId="56" fillId="36" borderId="30" applyNumberFormat="0" applyAlignment="0" applyProtection="0"/>
    <xf numFmtId="0" fontId="24" fillId="37" borderId="31"/>
    <xf numFmtId="0" fontId="57" fillId="38" borderId="32">
      <alignment horizontal="right" vertical="top" wrapText="1"/>
    </xf>
    <xf numFmtId="0" fontId="24" fillId="0" borderId="15"/>
    <xf numFmtId="0" fontId="58" fillId="39" borderId="0">
      <alignment horizontal="center"/>
    </xf>
    <xf numFmtId="0" fontId="59" fillId="39" borderId="0">
      <alignment horizontal="center" vertical="center"/>
    </xf>
    <xf numFmtId="0" fontId="13" fillId="40" borderId="0">
      <alignment horizontal="center" wrapText="1"/>
    </xf>
    <xf numFmtId="0" fontId="60" fillId="39" borderId="0">
      <alignment horizontal="center"/>
    </xf>
    <xf numFmtId="178" fontId="13" fillId="0" borderId="0" applyFont="0" applyFill="0" applyBorder="0" applyAlignment="0" applyProtection="0"/>
    <xf numFmtId="43"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0" fontId="22" fillId="2" borderId="15">
      <protection locked="0"/>
    </xf>
    <xf numFmtId="0" fontId="61" fillId="17" borderId="30" applyNumberFormat="0" applyAlignment="0" applyProtection="0"/>
    <xf numFmtId="0" fontId="62" fillId="35" borderId="0" applyNumberFormat="0" applyBorder="0" applyAlignment="0">
      <alignment horizontal="right"/>
    </xf>
    <xf numFmtId="168" fontId="63" fillId="39" borderId="0" applyBorder="0">
      <alignment horizontal="right" vertical="center"/>
      <protection locked="0"/>
    </xf>
    <xf numFmtId="0" fontId="64" fillId="0" borderId="33" applyNumberFormat="0" applyFill="0" applyAlignment="0" applyProtection="0"/>
    <xf numFmtId="0" fontId="65" fillId="0" borderId="0" applyNumberFormat="0" applyFill="0" applyBorder="0" applyAlignment="0" applyProtection="0"/>
    <xf numFmtId="0" fontId="66" fillId="2" borderId="31">
      <protection locked="0"/>
    </xf>
    <xf numFmtId="0" fontId="13" fillId="2" borderId="15"/>
    <xf numFmtId="0" fontId="13" fillId="39" borderId="0"/>
    <xf numFmtId="182" fontId="41" fillId="0" borderId="0" applyFont="0" applyFill="0" applyBorder="0" applyAlignment="0" applyProtection="0"/>
    <xf numFmtId="182" fontId="41" fillId="0" borderId="0" applyFont="0" applyFill="0" applyBorder="0" applyAlignment="0" applyProtection="0"/>
    <xf numFmtId="183" fontId="67" fillId="39" borderId="0">
      <alignment horizontal="center" vertical="center"/>
      <protection hidden="1"/>
    </xf>
    <xf numFmtId="184" fontId="68" fillId="0" borderId="15">
      <alignment horizontal="center" vertical="center"/>
      <protection locked="0"/>
    </xf>
    <xf numFmtId="168" fontId="69" fillId="9" borderId="0">
      <alignment horizontal="center" vertical="center"/>
    </xf>
    <xf numFmtId="183" fontId="68" fillId="0" borderId="15">
      <alignment horizontal="center" vertical="center"/>
      <protection locked="0"/>
    </xf>
    <xf numFmtId="185" fontId="68" fillId="0" borderId="15">
      <alignment horizontal="center" vertical="center"/>
      <protection locked="0"/>
    </xf>
    <xf numFmtId="186" fontId="68" fillId="0" borderId="15">
      <alignment horizontal="center" vertical="center"/>
      <protection locked="0"/>
    </xf>
    <xf numFmtId="0" fontId="67" fillId="39" borderId="15">
      <alignment horizontal="left"/>
    </xf>
    <xf numFmtId="0" fontId="13" fillId="2" borderId="15" applyNumberFormat="0" applyFont="0" applyAlignment="0">
      <protection locked="0"/>
    </xf>
    <xf numFmtId="0" fontId="13" fillId="2" borderId="15" applyNumberFormat="0" applyFont="0" applyAlignment="0">
      <protection locked="0"/>
    </xf>
    <xf numFmtId="0" fontId="70" fillId="41" borderId="0">
      <alignment horizontal="left" vertical="center" wrapText="1"/>
    </xf>
    <xf numFmtId="0" fontId="46" fillId="39" borderId="0">
      <alignment horizontal="left"/>
    </xf>
    <xf numFmtId="0" fontId="13" fillId="42" borderId="0" applyNumberFormat="0" applyFont="0" applyBorder="0" applyAlignment="0"/>
    <xf numFmtId="0" fontId="13" fillId="42" borderId="0" applyNumberFormat="0" applyFont="0" applyBorder="0" applyAlignment="0"/>
    <xf numFmtId="0" fontId="13" fillId="43" borderId="15" applyNumberFormat="0" applyFont="0" applyBorder="0" applyAlignment="0"/>
    <xf numFmtId="0" fontId="13" fillId="43" borderId="15" applyNumberFormat="0" applyFont="0" applyBorder="0" applyAlignment="0"/>
    <xf numFmtId="1" fontId="63" fillId="39" borderId="0" applyBorder="0">
      <alignment horizontal="right" vertical="center"/>
      <protection locked="0"/>
    </xf>
    <xf numFmtId="0" fontId="57" fillId="44" borderId="0">
      <alignment horizontal="right" vertical="top" wrapText="1"/>
    </xf>
    <xf numFmtId="0" fontId="71" fillId="14" borderId="0" applyNumberFormat="0" applyBorder="0" applyAlignment="0" applyProtection="0"/>
    <xf numFmtId="0" fontId="15" fillId="40" borderId="0">
      <alignment horizontal="center"/>
    </xf>
    <xf numFmtId="0" fontId="13" fillId="39" borderId="15">
      <alignment horizontal="centerContinuous" wrapText="1"/>
    </xf>
    <xf numFmtId="0" fontId="72" fillId="45" borderId="0">
      <alignment horizontal="center" wrapText="1"/>
    </xf>
    <xf numFmtId="49" fontId="73" fillId="41" borderId="34">
      <alignment horizontal="center" vertical="center" wrapText="1"/>
    </xf>
    <xf numFmtId="0" fontId="24" fillId="41" borderId="0" applyFont="0" applyAlignment="0"/>
    <xf numFmtId="0" fontId="24" fillId="39" borderId="27">
      <alignment wrapText="1"/>
    </xf>
    <xf numFmtId="0" fontId="24" fillId="39" borderId="16"/>
    <xf numFmtId="0" fontId="24" fillId="39" borderId="1"/>
    <xf numFmtId="0" fontId="24" fillId="39" borderId="1"/>
    <xf numFmtId="0" fontId="24" fillId="39" borderId="17">
      <alignment horizontal="center" wrapText="1"/>
    </xf>
    <xf numFmtId="178" fontId="13" fillId="0" borderId="0" applyFont="0" applyFill="0" applyBorder="0" applyAlignment="0" applyProtection="0"/>
    <xf numFmtId="0" fontId="74" fillId="29" borderId="0" applyNumberFormat="0" applyBorder="0" applyAlignment="0" applyProtection="0"/>
    <xf numFmtId="0" fontId="24" fillId="0" borderId="0"/>
    <xf numFmtId="0" fontId="75" fillId="42" borderId="35" applyNumberFormat="0" applyFont="0" applyAlignment="0" applyProtection="0"/>
    <xf numFmtId="0" fontId="5" fillId="11" borderId="26" applyNumberFormat="0" applyFont="0" applyAlignment="0" applyProtection="0"/>
    <xf numFmtId="0" fontId="5" fillId="11" borderId="26" applyNumberFormat="0" applyFont="0" applyAlignment="0" applyProtection="0"/>
    <xf numFmtId="187" fontId="76" fillId="0" borderId="0"/>
    <xf numFmtId="9" fontId="13" fillId="0" borderId="0" applyNumberFormat="0" applyFont="0" applyFill="0" applyBorder="0" applyAlignment="0" applyProtection="0"/>
    <xf numFmtId="188" fontId="41" fillId="0" borderId="0">
      <alignment horizontal="right"/>
    </xf>
    <xf numFmtId="0" fontId="24" fillId="39" borderId="15"/>
    <xf numFmtId="0" fontId="59" fillId="39" borderId="0">
      <alignment horizontal="right"/>
    </xf>
    <xf numFmtId="0" fontId="77" fillId="45" borderId="0">
      <alignment horizontal="center"/>
    </xf>
    <xf numFmtId="0" fontId="78" fillId="44" borderId="15">
      <alignment horizontal="left" vertical="top" wrapText="1"/>
    </xf>
    <xf numFmtId="0" fontId="79" fillId="44" borderId="20">
      <alignment horizontal="left" vertical="top" wrapText="1"/>
    </xf>
    <xf numFmtId="0" fontId="78" fillId="44" borderId="21">
      <alignment horizontal="left" vertical="top" wrapText="1"/>
    </xf>
    <xf numFmtId="0" fontId="78" fillId="44" borderId="20">
      <alignment horizontal="left" vertical="top"/>
    </xf>
    <xf numFmtId="0" fontId="80"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alignment vertical="top"/>
    </xf>
    <xf numFmtId="49" fontId="81" fillId="26" borderId="36" applyFont="0" applyAlignment="0">
      <alignment horizontal="center" vertical="center" wrapText="1"/>
    </xf>
    <xf numFmtId="0" fontId="82" fillId="46" borderId="0"/>
    <xf numFmtId="0" fontId="82" fillId="46" borderId="0"/>
    <xf numFmtId="0" fontId="82" fillId="6" borderId="0"/>
    <xf numFmtId="189" fontId="82" fillId="6" borderId="0" applyFill="0" applyBorder="0" applyAlignment="0">
      <alignment horizontal="right"/>
    </xf>
    <xf numFmtId="190" fontId="82" fillId="6" borderId="0" applyFill="0" applyBorder="0" applyProtection="0">
      <alignment horizontal="right"/>
    </xf>
    <xf numFmtId="189" fontId="82" fillId="6" borderId="0" applyFill="0" applyBorder="0" applyProtection="0">
      <alignment horizontal="right"/>
    </xf>
    <xf numFmtId="190" fontId="82" fillId="6" borderId="0" applyFill="0" applyBorder="0" applyProtection="0">
      <alignment horizontal="right"/>
    </xf>
    <xf numFmtId="191" fontId="82" fillId="6" borderId="0" applyFill="0">
      <alignment horizontal="right"/>
    </xf>
    <xf numFmtId="192" fontId="82" fillId="6" borderId="0" applyFill="0" applyBorder="0" applyProtection="0">
      <alignment horizontal="right"/>
    </xf>
    <xf numFmtId="191" fontId="73" fillId="6" borderId="0" applyFill="0">
      <alignment horizontal="right"/>
    </xf>
    <xf numFmtId="0" fontId="58" fillId="39" borderId="0">
      <alignment horizontal="center"/>
    </xf>
    <xf numFmtId="0" fontId="73" fillId="41" borderId="0">
      <alignment horizontal="left" vertical="center"/>
    </xf>
    <xf numFmtId="0" fontId="73" fillId="47" borderId="0">
      <alignment horizontal="left" vertical="center"/>
    </xf>
    <xf numFmtId="0" fontId="73" fillId="48" borderId="0">
      <alignment horizontal="left" vertical="center"/>
    </xf>
    <xf numFmtId="0" fontId="73" fillId="6" borderId="0">
      <alignment horizontal="left" vertical="center"/>
    </xf>
    <xf numFmtId="49" fontId="82" fillId="49" borderId="37" applyBorder="0" applyAlignment="0">
      <alignment horizontal="center" vertical="center" wrapText="1"/>
    </xf>
    <xf numFmtId="0" fontId="42" fillId="39" borderId="0"/>
    <xf numFmtId="0" fontId="82" fillId="46" borderId="38">
      <alignment horizontal="center"/>
    </xf>
    <xf numFmtId="0" fontId="82" fillId="46" borderId="38">
      <alignment horizontal="center"/>
    </xf>
    <xf numFmtId="0" fontId="82" fillId="6" borderId="38">
      <alignment horizontal="center"/>
    </xf>
    <xf numFmtId="175" fontId="62" fillId="35" borderId="0" applyFont="0" applyBorder="0" applyAlignment="0">
      <alignment horizontal="right"/>
    </xf>
    <xf numFmtId="49" fontId="83" fillId="35" borderId="0" applyFont="0" applyFill="0" applyBorder="0" applyAlignment="0" applyProtection="0">
      <alignment horizontal="right"/>
    </xf>
    <xf numFmtId="0" fontId="84" fillId="0" borderId="39" applyNumberFormat="0" applyFill="0" applyAlignment="0" applyProtection="0"/>
    <xf numFmtId="0" fontId="85" fillId="0" borderId="40" applyNumberFormat="0" applyFill="0" applyAlignment="0" applyProtection="0"/>
    <xf numFmtId="0" fontId="86" fillId="0" borderId="41"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49" fontId="88" fillId="41" borderId="34">
      <alignment horizontal="center" vertical="center" wrapText="1"/>
    </xf>
    <xf numFmtId="0" fontId="82" fillId="48" borderId="0">
      <alignment horizontal="center"/>
    </xf>
    <xf numFmtId="0" fontId="89" fillId="0" borderId="42" applyNumberFormat="0" applyFill="0" applyAlignment="0" applyProtection="0"/>
    <xf numFmtId="0" fontId="90" fillId="0" borderId="0"/>
    <xf numFmtId="193" fontId="13" fillId="0" borderId="0" applyFont="0" applyFill="0" applyBorder="0" applyAlignment="0" applyProtection="0"/>
    <xf numFmtId="0" fontId="51" fillId="0" borderId="0" applyNumberFormat="0" applyFill="0" applyBorder="0" applyAlignment="0" applyProtection="0"/>
    <xf numFmtId="49" fontId="63" fillId="39" borderId="0" applyBorder="0" applyAlignment="0">
      <alignment horizontal="right"/>
      <protection locked="0"/>
    </xf>
    <xf numFmtId="49" fontId="52" fillId="8" borderId="0">
      <alignment horizontal="left" vertical="center"/>
    </xf>
    <xf numFmtId="49" fontId="68" fillId="0" borderId="15">
      <alignment horizontal="left" vertical="center"/>
      <protection locked="0"/>
    </xf>
    <xf numFmtId="194" fontId="76" fillId="0" borderId="18">
      <alignment horizontal="right"/>
    </xf>
    <xf numFmtId="195" fontId="76" fillId="0" borderId="18">
      <alignment horizontal="left"/>
    </xf>
    <xf numFmtId="0" fontId="91" fillId="50" borderId="43" applyNumberFormat="0" applyAlignment="0" applyProtection="0"/>
    <xf numFmtId="0" fontId="82" fillId="48" borderId="0">
      <alignment horizontal="center"/>
    </xf>
  </cellStyleXfs>
  <cellXfs count="322">
    <xf numFmtId="0" fontId="0" fillId="0" borderId="0" xfId="0"/>
    <xf numFmtId="0" fontId="12" fillId="0" borderId="0" xfId="1"/>
    <xf numFmtId="0" fontId="13" fillId="0" borderId="0" xfId="2" applyFont="1"/>
    <xf numFmtId="0" fontId="13" fillId="0" borderId="0" xfId="2"/>
    <xf numFmtId="0" fontId="13" fillId="0" borderId="0" xfId="2" applyAlignment="1">
      <alignment vertical="center"/>
    </xf>
    <xf numFmtId="0" fontId="10" fillId="0" borderId="0" xfId="4"/>
    <xf numFmtId="0" fontId="16" fillId="0" borderId="0" xfId="4" applyFont="1"/>
    <xf numFmtId="0" fontId="18" fillId="0" borderId="0" xfId="4" applyFont="1"/>
    <xf numFmtId="0" fontId="16" fillId="0" borderId="0" xfId="4" applyFont="1" applyAlignment="1">
      <alignment horizontal="right"/>
    </xf>
    <xf numFmtId="0" fontId="13" fillId="0" borderId="0" xfId="4" applyFont="1"/>
    <xf numFmtId="0" fontId="20" fillId="0" borderId="0" xfId="4" applyFont="1" applyAlignment="1">
      <alignment horizontal="center" wrapText="1"/>
    </xf>
    <xf numFmtId="0" fontId="9" fillId="0" borderId="0" xfId="1" applyFont="1"/>
    <xf numFmtId="0" fontId="9" fillId="0" borderId="0" xfId="1" applyFont="1" applyAlignment="1">
      <alignment horizontal="right" vertical="center"/>
    </xf>
    <xf numFmtId="0" fontId="9" fillId="0" borderId="0" xfId="1" applyFont="1" applyAlignment="1">
      <alignment horizontal="right"/>
    </xf>
    <xf numFmtId="0" fontId="25" fillId="0" borderId="0" xfId="1" applyFont="1" applyAlignment="1">
      <alignment horizontal="center" vertical="center"/>
    </xf>
    <xf numFmtId="0" fontId="9" fillId="0" borderId="0" xfId="1" applyFont="1" applyAlignment="1">
      <alignment horizontal="left" vertical="center"/>
    </xf>
    <xf numFmtId="0" fontId="25" fillId="0" borderId="0" xfId="1" applyFont="1" applyAlignment="1">
      <alignment horizontal="left" vertical="center"/>
    </xf>
    <xf numFmtId="0" fontId="9" fillId="0" borderId="0" xfId="1" applyFont="1" applyAlignment="1">
      <alignment horizontal="left" vertical="center" wrapText="1"/>
    </xf>
    <xf numFmtId="165" fontId="9" fillId="0" borderId="0" xfId="1" applyNumberFormat="1" applyFont="1" applyAlignment="1">
      <alignment horizontal="left" vertical="center"/>
    </xf>
    <xf numFmtId="165" fontId="9" fillId="0" borderId="0" xfId="1" applyNumberFormat="1" applyFont="1" applyAlignment="1">
      <alignment horizontal="center" vertical="center"/>
    </xf>
    <xf numFmtId="0" fontId="9" fillId="0" borderId="0" xfId="1" applyFont="1" applyAlignment="1">
      <alignment vertical="top"/>
    </xf>
    <xf numFmtId="0" fontId="25" fillId="0" borderId="0" xfId="1" applyFont="1" applyAlignment="1">
      <alignment horizontal="left" vertical="top"/>
    </xf>
    <xf numFmtId="0" fontId="9" fillId="0" borderId="0" xfId="1" applyFont="1" applyBorder="1" applyAlignment="1">
      <alignment horizontal="left"/>
    </xf>
    <xf numFmtId="0" fontId="9" fillId="0" borderId="0" xfId="1" applyFont="1" applyBorder="1"/>
    <xf numFmtId="0" fontId="12" fillId="0" borderId="0" xfId="1" applyBorder="1"/>
    <xf numFmtId="0" fontId="8" fillId="0" borderId="0" xfId="1" applyFont="1" applyAlignment="1">
      <alignment horizontal="left" vertical="center" wrapText="1"/>
    </xf>
    <xf numFmtId="0" fontId="8" fillId="0" borderId="0" xfId="1" quotePrefix="1" applyFont="1" applyAlignment="1">
      <alignment vertical="top"/>
    </xf>
    <xf numFmtId="0" fontId="8" fillId="0" borderId="0" xfId="1" applyFont="1" applyAlignment="1">
      <alignment vertical="top"/>
    </xf>
    <xf numFmtId="0" fontId="13" fillId="0" borderId="0" xfId="2" applyFill="1"/>
    <xf numFmtId="0" fontId="30" fillId="2" borderId="0" xfId="9" applyFont="1" applyFill="1" applyBorder="1" applyAlignment="1" applyProtection="1"/>
    <xf numFmtId="0" fontId="13" fillId="2" borderId="0" xfId="2" applyFill="1" applyBorder="1" applyAlignment="1"/>
    <xf numFmtId="0" fontId="13" fillId="0" borderId="0" xfId="2" applyFill="1" applyAlignment="1">
      <alignment vertical="center"/>
    </xf>
    <xf numFmtId="0" fontId="15" fillId="0" borderId="0" xfId="2" applyFont="1" applyFill="1" applyBorder="1"/>
    <xf numFmtId="0" fontId="15" fillId="0" borderId="0" xfId="2" applyFont="1" applyFill="1"/>
    <xf numFmtId="0" fontId="13" fillId="0" borderId="0" xfId="2" applyFont="1" applyFill="1"/>
    <xf numFmtId="0" fontId="13" fillId="0" borderId="0" xfId="2" applyFont="1" applyFill="1" applyBorder="1"/>
    <xf numFmtId="49" fontId="13" fillId="0" borderId="0" xfId="2" applyNumberFormat="1" applyFill="1" applyAlignment="1">
      <alignment horizontal="left"/>
    </xf>
    <xf numFmtId="0" fontId="13" fillId="0" borderId="0" xfId="2" applyFill="1" applyAlignment="1">
      <alignment horizontal="right"/>
    </xf>
    <xf numFmtId="0" fontId="15" fillId="0" borderId="0" xfId="2" applyFont="1"/>
    <xf numFmtId="0" fontId="14" fillId="0" borderId="0" xfId="2" applyFont="1"/>
    <xf numFmtId="0" fontId="14" fillId="0" borderId="0" xfId="2" applyFont="1" applyBorder="1" applyAlignment="1">
      <alignment horizontal="center"/>
    </xf>
    <xf numFmtId="168" fontId="14" fillId="0" borderId="0" xfId="2" applyNumberFormat="1" applyFont="1"/>
    <xf numFmtId="49" fontId="28" fillId="0" borderId="0" xfId="2" applyNumberFormat="1" applyFont="1" applyFill="1" applyAlignment="1">
      <alignment horizontal="left"/>
    </xf>
    <xf numFmtId="0" fontId="28" fillId="0" borderId="0" xfId="2" applyFont="1" applyFill="1" applyAlignment="1">
      <alignment horizontal="right"/>
    </xf>
    <xf numFmtId="49" fontId="28" fillId="0" borderId="9" xfId="2" applyNumberFormat="1" applyFont="1" applyFill="1" applyBorder="1" applyAlignment="1">
      <alignment horizontal="left"/>
    </xf>
    <xf numFmtId="0" fontId="28" fillId="0" borderId="9" xfId="2" applyFont="1" applyFill="1" applyBorder="1" applyAlignment="1">
      <alignment horizontal="right"/>
    </xf>
    <xf numFmtId="0" fontId="28" fillId="0" borderId="0" xfId="2" applyFont="1" applyFill="1" applyBorder="1" applyAlignment="1">
      <alignment horizontal="center" vertical="center"/>
    </xf>
    <xf numFmtId="0" fontId="28" fillId="0" borderId="5" xfId="2" applyFont="1" applyFill="1" applyBorder="1" applyAlignment="1">
      <alignment horizontal="center" vertical="center"/>
    </xf>
    <xf numFmtId="0" fontId="28" fillId="0" borderId="0" xfId="2" applyFont="1" applyFill="1" applyBorder="1" applyAlignment="1">
      <alignment horizontal="centerContinuous" vertical="center"/>
    </xf>
    <xf numFmtId="166" fontId="28" fillId="0" borderId="0" xfId="2" applyNumberFormat="1" applyFont="1" applyFill="1" applyBorder="1" applyAlignment="1">
      <alignment horizontal="center" vertical="center" wrapText="1"/>
    </xf>
    <xf numFmtId="49" fontId="27" fillId="0" borderId="0" xfId="2" applyNumberFormat="1" applyFont="1" applyFill="1" applyBorder="1" applyAlignment="1">
      <alignment horizontal="left" vertical="top" wrapText="1"/>
    </xf>
    <xf numFmtId="167" fontId="27" fillId="0" borderId="0" xfId="2" applyNumberFormat="1" applyFont="1" applyFill="1" applyBorder="1" applyAlignment="1">
      <alignment horizontal="right" indent="1"/>
    </xf>
    <xf numFmtId="49" fontId="28" fillId="0" borderId="0" xfId="2" applyNumberFormat="1" applyFont="1" applyFill="1" applyBorder="1" applyAlignment="1">
      <alignment horizontal="left" vertical="top" wrapText="1"/>
    </xf>
    <xf numFmtId="171" fontId="28" fillId="0" borderId="0" xfId="2" applyNumberFormat="1" applyFont="1" applyFill="1" applyBorder="1" applyAlignment="1">
      <alignment horizontal="right" indent="1"/>
    </xf>
    <xf numFmtId="167" fontId="28" fillId="0" borderId="0" xfId="2" applyNumberFormat="1" applyFont="1" applyFill="1" applyBorder="1" applyAlignment="1">
      <alignment horizontal="right" indent="1"/>
    </xf>
    <xf numFmtId="0" fontId="28" fillId="5" borderId="3" xfId="2" applyFont="1" applyFill="1" applyBorder="1" applyAlignment="1">
      <alignment horizontal="centerContinuous" vertical="center" wrapText="1"/>
    </xf>
    <xf numFmtId="0" fontId="28" fillId="5" borderId="3" xfId="2" applyFont="1" applyFill="1" applyBorder="1" applyAlignment="1">
      <alignment horizontal="centerContinuous" vertical="center"/>
    </xf>
    <xf numFmtId="0" fontId="28" fillId="5" borderId="4" xfId="2" applyFont="1" applyFill="1" applyBorder="1" applyAlignment="1">
      <alignment horizontal="centerContinuous" vertical="center"/>
    </xf>
    <xf numFmtId="0" fontId="28" fillId="5" borderId="3" xfId="2" applyFont="1" applyFill="1" applyBorder="1" applyAlignment="1">
      <alignment horizontal="center" vertical="center" wrapText="1"/>
    </xf>
    <xf numFmtId="0" fontId="28" fillId="5" borderId="3" xfId="2" applyFont="1" applyFill="1" applyBorder="1" applyAlignment="1">
      <alignment horizontal="center" vertical="center"/>
    </xf>
    <xf numFmtId="166" fontId="28" fillId="5" borderId="3" xfId="2" applyNumberFormat="1" applyFont="1" applyFill="1" applyBorder="1" applyAlignment="1">
      <alignment horizontal="center" vertical="center" wrapText="1"/>
    </xf>
    <xf numFmtId="166" fontId="28" fillId="5" borderId="4" xfId="2" applyNumberFormat="1" applyFont="1" applyFill="1" applyBorder="1" applyAlignment="1">
      <alignment horizontal="center" vertical="center" wrapText="1"/>
    </xf>
    <xf numFmtId="49" fontId="27" fillId="0" borderId="6" xfId="2" applyNumberFormat="1" applyFont="1" applyFill="1" applyBorder="1" applyAlignment="1"/>
    <xf numFmtId="49" fontId="28" fillId="0" borderId="6" xfId="2" applyNumberFormat="1" applyFont="1" applyFill="1" applyBorder="1" applyAlignment="1"/>
    <xf numFmtId="49" fontId="27" fillId="0" borderId="6" xfId="2" applyNumberFormat="1" applyFont="1" applyFill="1" applyBorder="1" applyAlignment="1">
      <alignment horizontal="left" wrapText="1"/>
    </xf>
    <xf numFmtId="49" fontId="28" fillId="0" borderId="6" xfId="2" applyNumberFormat="1" applyFont="1" applyFill="1" applyBorder="1" applyAlignment="1">
      <alignment horizontal="left" wrapText="1"/>
    </xf>
    <xf numFmtId="0" fontId="28" fillId="0" borderId="6" xfId="2" applyFont="1" applyFill="1" applyBorder="1" applyAlignment="1">
      <alignment wrapText="1"/>
    </xf>
    <xf numFmtId="0" fontId="27" fillId="0" borderId="6" xfId="2" applyFont="1" applyFill="1" applyBorder="1" applyAlignment="1">
      <alignment wrapText="1"/>
    </xf>
    <xf numFmtId="0" fontId="27" fillId="0" borderId="6" xfId="2" applyFont="1" applyFill="1" applyBorder="1" applyAlignment="1">
      <alignment horizontal="left" wrapText="1"/>
    </xf>
    <xf numFmtId="0" fontId="28" fillId="0" borderId="6" xfId="2" applyFont="1" applyFill="1" applyBorder="1" applyAlignment="1">
      <alignment horizontal="left" wrapText="1"/>
    </xf>
    <xf numFmtId="49" fontId="27" fillId="0" borderId="0" xfId="2" applyNumberFormat="1" applyFont="1" applyFill="1" applyBorder="1" applyAlignment="1">
      <alignment horizontal="left" wrapText="1"/>
    </xf>
    <xf numFmtId="49" fontId="28" fillId="0" borderId="0" xfId="2" applyNumberFormat="1" applyFont="1" applyFill="1" applyBorder="1" applyAlignment="1">
      <alignment horizontal="left" wrapText="1"/>
    </xf>
    <xf numFmtId="49" fontId="27" fillId="0" borderId="7" xfId="2" applyNumberFormat="1" applyFont="1" applyFill="1" applyBorder="1" applyAlignment="1">
      <alignment horizontal="left" wrapText="1"/>
    </xf>
    <xf numFmtId="0" fontId="27" fillId="0" borderId="8" xfId="2" applyFont="1" applyFill="1" applyBorder="1" applyAlignment="1">
      <alignment horizontal="left" wrapText="1"/>
    </xf>
    <xf numFmtId="0" fontId="15" fillId="2" borderId="0" xfId="2" applyFont="1" applyFill="1" applyBorder="1" applyAlignment="1">
      <alignment vertical="top" wrapText="1"/>
    </xf>
    <xf numFmtId="0" fontId="28" fillId="0" borderId="0" xfId="2" applyFont="1" applyFill="1" applyBorder="1" applyAlignment="1">
      <alignment horizontal="center" vertical="center" wrapText="1"/>
    </xf>
    <xf numFmtId="0" fontId="27" fillId="0" borderId="6" xfId="2" applyFont="1" applyFill="1" applyBorder="1" applyAlignment="1">
      <alignment vertical="top" wrapText="1"/>
    </xf>
    <xf numFmtId="0" fontId="28" fillId="0" borderId="6" xfId="2" applyFont="1" applyFill="1" applyBorder="1" applyAlignment="1">
      <alignment vertical="top" wrapText="1"/>
    </xf>
    <xf numFmtId="49" fontId="27" fillId="0" borderId="6" xfId="2" applyNumberFormat="1" applyFont="1" applyFill="1" applyBorder="1" applyAlignment="1">
      <alignment horizontal="left" vertical="top" wrapText="1"/>
    </xf>
    <xf numFmtId="49" fontId="28" fillId="0" borderId="0" xfId="2" applyNumberFormat="1" applyFont="1" applyFill="1" applyBorder="1" applyAlignment="1">
      <alignment horizontal="left"/>
    </xf>
    <xf numFmtId="0" fontId="28" fillId="0" borderId="0" xfId="2" applyFont="1" applyFill="1" applyBorder="1" applyAlignment="1">
      <alignment horizontal="right"/>
    </xf>
    <xf numFmtId="0" fontId="28" fillId="0" borderId="0" xfId="2" applyFont="1" applyFill="1" applyBorder="1"/>
    <xf numFmtId="0" fontId="28" fillId="5" borderId="4" xfId="2" applyFont="1" applyFill="1" applyBorder="1" applyAlignment="1">
      <alignment horizontal="center" vertical="center" wrapText="1"/>
    </xf>
    <xf numFmtId="49" fontId="27" fillId="0" borderId="6" xfId="2" applyNumberFormat="1" applyFont="1" applyFill="1" applyBorder="1" applyAlignment="1">
      <alignment vertical="center"/>
    </xf>
    <xf numFmtId="49" fontId="28" fillId="0" borderId="6" xfId="2" applyNumberFormat="1" applyFont="1" applyFill="1" applyBorder="1" applyAlignment="1">
      <alignment vertical="center"/>
    </xf>
    <xf numFmtId="49" fontId="28" fillId="0" borderId="6" xfId="2" applyNumberFormat="1" applyFont="1" applyFill="1" applyBorder="1" applyAlignment="1">
      <alignment horizontal="left" vertical="top" wrapText="1"/>
    </xf>
    <xf numFmtId="0" fontId="27" fillId="0" borderId="6" xfId="2" applyFont="1" applyFill="1" applyBorder="1" applyAlignment="1">
      <alignment horizontal="left" vertical="top" wrapText="1"/>
    </xf>
    <xf numFmtId="0" fontId="28" fillId="0" borderId="6" xfId="2" applyFont="1" applyFill="1" applyBorder="1" applyAlignment="1">
      <alignment horizontal="left" vertical="top" wrapText="1"/>
    </xf>
    <xf numFmtId="49" fontId="27" fillId="0" borderId="7" xfId="2" applyNumberFormat="1" applyFont="1" applyFill="1" applyBorder="1" applyAlignment="1">
      <alignment horizontal="left" vertical="top" wrapText="1"/>
    </xf>
    <xf numFmtId="0" fontId="27" fillId="0" borderId="8" xfId="2" applyFont="1" applyFill="1" applyBorder="1" applyAlignment="1">
      <alignment vertical="top" wrapText="1"/>
    </xf>
    <xf numFmtId="0" fontId="14" fillId="0" borderId="0" xfId="2" applyFont="1" applyFill="1" applyBorder="1" applyAlignment="1">
      <alignment horizontal="centerContinuous" vertical="center"/>
    </xf>
    <xf numFmtId="172" fontId="14" fillId="0" borderId="0" xfId="2" applyNumberFormat="1" applyFont="1" applyFill="1" applyBorder="1" applyAlignment="1">
      <alignment horizontal="centerContinuous" vertical="center"/>
    </xf>
    <xf numFmtId="0" fontId="14" fillId="0" borderId="0" xfId="2" applyFont="1" applyFill="1" applyBorder="1"/>
    <xf numFmtId="0" fontId="14" fillId="0" borderId="6" xfId="2" applyFont="1" applyFill="1" applyBorder="1" applyAlignment="1">
      <alignment horizontal="center" vertical="center" wrapText="1"/>
    </xf>
    <xf numFmtId="169" fontId="24" fillId="0" borderId="0" xfId="2" applyNumberFormat="1" applyFont="1" applyAlignment="1"/>
    <xf numFmtId="0" fontId="28" fillId="4" borderId="3" xfId="2" applyFont="1" applyFill="1" applyBorder="1" applyAlignment="1">
      <alignment horizontal="center" vertical="center" wrapText="1"/>
    </xf>
    <xf numFmtId="0" fontId="28" fillId="4" borderId="4" xfId="2" applyFont="1" applyFill="1" applyBorder="1" applyAlignment="1">
      <alignment horizontal="center" vertical="center" wrapText="1"/>
    </xf>
    <xf numFmtId="0" fontId="28" fillId="4" borderId="4" xfId="2" applyFont="1" applyFill="1" applyBorder="1" applyAlignment="1">
      <alignment horizontal="center" vertical="center"/>
    </xf>
    <xf numFmtId="0" fontId="32" fillId="0" borderId="6" xfId="2" applyFont="1" applyFill="1" applyBorder="1" applyAlignment="1">
      <alignment horizontal="left" wrapText="1"/>
    </xf>
    <xf numFmtId="171" fontId="28" fillId="0" borderId="6" xfId="2" applyNumberFormat="1" applyFont="1" applyFill="1" applyBorder="1" applyAlignment="1">
      <alignment horizontal="left"/>
    </xf>
    <xf numFmtId="0" fontId="32" fillId="0" borderId="6" xfId="2" applyFont="1" applyFill="1" applyBorder="1" applyAlignment="1">
      <alignment horizontal="left"/>
    </xf>
    <xf numFmtId="173" fontId="28" fillId="0" borderId="6" xfId="2" applyNumberFormat="1" applyFont="1" applyFill="1" applyBorder="1" applyAlignment="1">
      <alignment horizontal="left"/>
    </xf>
    <xf numFmtId="49" fontId="36" fillId="0" borderId="0" xfId="2" applyNumberFormat="1" applyFont="1" applyFill="1" applyBorder="1" applyAlignment="1">
      <alignment horizontal="centerContinuous" vertical="center"/>
    </xf>
    <xf numFmtId="172" fontId="28" fillId="6" borderId="0" xfId="2" applyNumberFormat="1" applyFont="1" applyFill="1" applyBorder="1" applyAlignment="1">
      <alignment horizontal="centerContinuous" vertical="center"/>
    </xf>
    <xf numFmtId="172" fontId="28" fillId="6" borderId="0" xfId="2" applyNumberFormat="1" applyFont="1" applyFill="1" applyBorder="1" applyAlignment="1">
      <alignment horizontal="center" vertical="center"/>
    </xf>
    <xf numFmtId="0" fontId="28" fillId="0" borderId="6" xfId="2" applyFont="1" applyFill="1" applyBorder="1"/>
    <xf numFmtId="0" fontId="27" fillId="0" borderId="8" xfId="2" applyFont="1" applyFill="1" applyBorder="1"/>
    <xf numFmtId="3" fontId="28" fillId="0" borderId="0" xfId="2" applyNumberFormat="1" applyFont="1" applyFill="1" applyBorder="1"/>
    <xf numFmtId="49" fontId="28" fillId="0" borderId="0" xfId="2" applyNumberFormat="1" applyFont="1" applyFill="1" applyBorder="1" applyAlignment="1">
      <alignment horizontal="centerContinuous" vertical="center"/>
    </xf>
    <xf numFmtId="0" fontId="28" fillId="5" borderId="4" xfId="2" applyFont="1" applyFill="1" applyBorder="1" applyAlignment="1">
      <alignment horizontal="centerContinuous"/>
    </xf>
    <xf numFmtId="172" fontId="28" fillId="5" borderId="4" xfId="2" applyNumberFormat="1" applyFont="1" applyFill="1" applyBorder="1" applyAlignment="1">
      <alignment horizontal="center" vertical="center"/>
    </xf>
    <xf numFmtId="167" fontId="28" fillId="0" borderId="0" xfId="2" applyNumberFormat="1" applyFont="1" applyFill="1" applyBorder="1" applyAlignment="1">
      <alignment horizontal="right" indent="2"/>
    </xf>
    <xf numFmtId="164" fontId="28" fillId="0" borderId="0" xfId="10" applyNumberFormat="1" applyFont="1" applyFill="1" applyAlignment="1">
      <alignment horizontal="right" indent="2"/>
    </xf>
    <xf numFmtId="0" fontId="36" fillId="0" borderId="0" xfId="2" applyFont="1" applyFill="1" applyBorder="1"/>
    <xf numFmtId="3" fontId="36" fillId="0" borderId="0" xfId="2" applyNumberFormat="1" applyFont="1" applyFill="1" applyBorder="1"/>
    <xf numFmtId="49" fontId="29" fillId="0" borderId="0" xfId="2" applyNumberFormat="1" applyFont="1" applyFill="1" applyBorder="1" applyAlignment="1">
      <alignment horizontal="centerContinuous" vertical="center"/>
    </xf>
    <xf numFmtId="0" fontId="28" fillId="3" borderId="3" xfId="2" applyFont="1" applyFill="1" applyBorder="1" applyAlignment="1">
      <alignment horizontal="center" vertical="center"/>
    </xf>
    <xf numFmtId="0" fontId="28" fillId="3" borderId="4" xfId="2" applyFont="1" applyFill="1" applyBorder="1" applyAlignment="1">
      <alignment horizontal="center" vertical="center" wrapText="1"/>
    </xf>
    <xf numFmtId="0" fontId="28" fillId="3" borderId="3" xfId="2" applyFont="1" applyFill="1" applyBorder="1" applyAlignment="1">
      <alignment horizontal="centerContinuous" vertical="center"/>
    </xf>
    <xf numFmtId="172" fontId="28" fillId="3" borderId="4" xfId="2" applyNumberFormat="1" applyFont="1" applyFill="1" applyBorder="1" applyAlignment="1">
      <alignment horizontal="centerContinuous" vertical="center"/>
    </xf>
    <xf numFmtId="0" fontId="28" fillId="0" borderId="5" xfId="2" applyFont="1" applyFill="1" applyBorder="1" applyAlignment="1">
      <alignment horizontal="center" vertical="center" wrapText="1"/>
    </xf>
    <xf numFmtId="172" fontId="28" fillId="0" borderId="0" xfId="2" applyNumberFormat="1" applyFont="1" applyFill="1" applyBorder="1" applyAlignment="1">
      <alignment horizontal="centerContinuous" vertical="center"/>
    </xf>
    <xf numFmtId="0" fontId="27" fillId="7" borderId="8" xfId="2" applyFont="1" applyFill="1" applyBorder="1"/>
    <xf numFmtId="172" fontId="28" fillId="5" borderId="4" xfId="2" applyNumberFormat="1" applyFont="1" applyFill="1" applyBorder="1" applyAlignment="1">
      <alignment horizontal="centerContinuous" vertical="center"/>
    </xf>
    <xf numFmtId="0" fontId="13" fillId="0" borderId="0" xfId="2" applyAlignment="1">
      <alignment horizontal="left" vertical="center"/>
    </xf>
    <xf numFmtId="0" fontId="13" fillId="0" borderId="0" xfId="2" applyBorder="1" applyAlignment="1">
      <alignment horizontal="left"/>
    </xf>
    <xf numFmtId="0" fontId="13" fillId="0" borderId="0" xfId="2" applyBorder="1"/>
    <xf numFmtId="0" fontId="7" fillId="0" borderId="0" xfId="10" applyFont="1"/>
    <xf numFmtId="0" fontId="7" fillId="0" borderId="0" xfId="10" applyFont="1" applyAlignment="1">
      <alignment horizontal="right" vertical="center"/>
    </xf>
    <xf numFmtId="0" fontId="13" fillId="0" borderId="0" xfId="2" applyAlignment="1">
      <alignment wrapText="1"/>
    </xf>
    <xf numFmtId="0" fontId="28" fillId="0" borderId="6" xfId="2" applyFont="1" applyFill="1" applyBorder="1" applyAlignment="1">
      <alignment horizontal="left"/>
    </xf>
    <xf numFmtId="0" fontId="10" fillId="0" borderId="0" xfId="4" applyAlignment="1">
      <alignment horizontal="left"/>
    </xf>
    <xf numFmtId="0" fontId="39" fillId="0" borderId="0" xfId="4" applyFont="1" applyAlignment="1">
      <alignment horizontal="left"/>
    </xf>
    <xf numFmtId="0" fontId="10" fillId="0" borderId="0" xfId="4" applyFont="1" applyAlignment="1">
      <alignment horizontal="left"/>
    </xf>
    <xf numFmtId="0" fontId="39" fillId="0" borderId="0" xfId="4" applyFont="1" applyAlignment="1">
      <alignment horizontal="left" wrapText="1"/>
    </xf>
    <xf numFmtId="0" fontId="10" fillId="0" borderId="0" xfId="4" applyAlignment="1">
      <alignment horizontal="left" wrapText="1"/>
    </xf>
    <xf numFmtId="0" fontId="10" fillId="0" borderId="0" xfId="4" applyFont="1" applyAlignment="1">
      <alignment horizontal="left" wrapText="1"/>
    </xf>
    <xf numFmtId="0" fontId="23" fillId="0" borderId="0" xfId="9" applyAlignment="1">
      <alignment horizontal="left" wrapText="1"/>
    </xf>
    <xf numFmtId="0" fontId="23" fillId="0" borderId="0" xfId="9" applyAlignment="1">
      <alignment horizontal="left"/>
    </xf>
    <xf numFmtId="0" fontId="10" fillId="0" borderId="0" xfId="4" applyFont="1"/>
    <xf numFmtId="0" fontId="10" fillId="0" borderId="0" xfId="4" applyAlignment="1">
      <alignment horizontal="left" vertical="center"/>
    </xf>
    <xf numFmtId="0" fontId="39" fillId="0" borderId="0" xfId="0" applyFont="1" applyBorder="1" applyAlignment="1">
      <alignment horizontal="left"/>
    </xf>
    <xf numFmtId="0" fontId="0" fillId="0" borderId="0" xfId="0" applyBorder="1" applyAlignment="1">
      <alignment horizontal="left"/>
    </xf>
    <xf numFmtId="0" fontId="10" fillId="0" borderId="0" xfId="4" applyBorder="1" applyAlignment="1">
      <alignment horizontal="left"/>
    </xf>
    <xf numFmtId="0" fontId="13" fillId="0" borderId="0" xfId="0" quotePrefix="1" applyFont="1" applyAlignment="1">
      <alignment horizontal="left"/>
    </xf>
    <xf numFmtId="0" fontId="13"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0" fontId="0" fillId="0" borderId="0" xfId="0" applyAlignment="1"/>
    <xf numFmtId="0" fontId="10" fillId="0" borderId="0" xfId="4" applyAlignment="1"/>
    <xf numFmtId="174" fontId="0" fillId="0" borderId="0" xfId="0" applyNumberFormat="1"/>
    <xf numFmtId="171" fontId="27" fillId="0" borderId="0" xfId="2" applyNumberFormat="1" applyFont="1" applyFill="1" applyBorder="1" applyAlignment="1">
      <alignment horizontal="right"/>
    </xf>
    <xf numFmtId="167" fontId="27" fillId="0" borderId="0" xfId="2" applyNumberFormat="1" applyFont="1" applyFill="1" applyBorder="1" applyAlignment="1">
      <alignment horizontal="right"/>
    </xf>
    <xf numFmtId="167" fontId="28" fillId="0" borderId="0" xfId="2" applyNumberFormat="1" applyFont="1" applyFill="1" applyBorder="1" applyAlignment="1">
      <alignment horizontal="right"/>
    </xf>
    <xf numFmtId="0" fontId="15" fillId="2" borderId="0" xfId="2" applyFont="1" applyFill="1" applyBorder="1" applyAlignment="1">
      <alignment wrapText="1"/>
    </xf>
    <xf numFmtId="0" fontId="28" fillId="0" borderId="0" xfId="2" applyFont="1" applyFill="1" applyBorder="1" applyAlignment="1">
      <alignment horizontal="center"/>
    </xf>
    <xf numFmtId="0" fontId="28" fillId="0" borderId="0" xfId="2" applyFont="1" applyFill="1" applyBorder="1" applyAlignment="1">
      <alignment horizontal="centerContinuous"/>
    </xf>
    <xf numFmtId="0" fontId="28" fillId="0" borderId="0" xfId="2" applyFont="1" applyFill="1" applyAlignment="1"/>
    <xf numFmtId="0" fontId="28" fillId="0" borderId="9" xfId="2" applyFont="1" applyFill="1" applyBorder="1" applyAlignment="1"/>
    <xf numFmtId="0" fontId="28" fillId="0" borderId="0" xfId="2" applyFont="1" applyFill="1" applyBorder="1" applyAlignment="1"/>
    <xf numFmtId="0" fontId="13" fillId="0" borderId="0" xfId="2" applyFill="1" applyAlignment="1"/>
    <xf numFmtId="166" fontId="28" fillId="0" borderId="0" xfId="2" applyNumberFormat="1" applyFont="1" applyFill="1" applyBorder="1" applyAlignment="1">
      <alignment horizontal="center" wrapText="1"/>
    </xf>
    <xf numFmtId="0" fontId="13" fillId="2" borderId="0" xfId="2" applyFont="1" applyFill="1" applyBorder="1" applyAlignment="1">
      <alignment wrapText="1"/>
    </xf>
    <xf numFmtId="0" fontId="28" fillId="0" borderId="0" xfId="2" applyFont="1" applyFill="1" applyBorder="1" applyAlignment="1">
      <alignment horizontal="center" wrapText="1"/>
    </xf>
    <xf numFmtId="0" fontId="13" fillId="0" borderId="0" xfId="2" applyFont="1" applyFill="1" applyAlignment="1"/>
    <xf numFmtId="0" fontId="10" fillId="0" borderId="0" xfId="4" applyFont="1" applyAlignment="1">
      <alignment horizontal="left"/>
    </xf>
    <xf numFmtId="0" fontId="37" fillId="0" borderId="0" xfId="4" applyFont="1" applyAlignment="1">
      <alignment horizontal="left"/>
    </xf>
    <xf numFmtId="166" fontId="28" fillId="5" borderId="3" xfId="2" applyNumberFormat="1" applyFont="1" applyFill="1" applyBorder="1" applyAlignment="1">
      <alignment horizontal="center" vertical="center" wrapText="1"/>
    </xf>
    <xf numFmtId="49" fontId="28" fillId="5" borderId="3" xfId="2" applyNumberFormat="1" applyFont="1" applyFill="1" applyBorder="1" applyAlignment="1">
      <alignment horizontal="center" vertical="center" wrapText="1"/>
    </xf>
    <xf numFmtId="0" fontId="28" fillId="5" borderId="3" xfId="2" applyFont="1" applyFill="1" applyBorder="1" applyAlignment="1">
      <alignment horizontal="center" vertical="center" wrapText="1"/>
    </xf>
    <xf numFmtId="0" fontId="28" fillId="5" borderId="4" xfId="2" applyFont="1" applyFill="1" applyBorder="1" applyAlignment="1">
      <alignment horizontal="center" vertical="center"/>
    </xf>
    <xf numFmtId="0" fontId="28" fillId="5" borderId="3" xfId="2" applyFont="1" applyFill="1" applyBorder="1" applyAlignment="1">
      <alignment horizontal="center" vertical="center"/>
    </xf>
    <xf numFmtId="0" fontId="4" fillId="0" borderId="0" xfId="1" applyFont="1" applyAlignment="1">
      <alignment horizontal="left" vertical="center" wrapText="1"/>
    </xf>
    <xf numFmtId="0" fontId="28" fillId="6" borderId="6" xfId="2" applyFont="1" applyFill="1" applyBorder="1" applyAlignment="1">
      <alignment horizontal="center" vertical="center" wrapText="1"/>
    </xf>
    <xf numFmtId="0" fontId="39" fillId="0" borderId="0" xfId="1" applyFont="1" applyAlignment="1">
      <alignment horizontal="left" vertical="center"/>
    </xf>
    <xf numFmtId="0" fontId="28" fillId="0" borderId="6" xfId="2" applyFont="1" applyFill="1" applyBorder="1" applyAlignment="1">
      <alignment horizontal="center" vertical="center"/>
    </xf>
    <xf numFmtId="0" fontId="28" fillId="0" borderId="6" xfId="2" applyFont="1" applyFill="1" applyBorder="1" applyAlignment="1">
      <alignment horizontal="center" vertical="center" wrapText="1"/>
    </xf>
    <xf numFmtId="0" fontId="28" fillId="4" borderId="4" xfId="2" applyFont="1" applyFill="1" applyBorder="1" applyAlignment="1">
      <alignment horizontal="center" vertical="center"/>
    </xf>
    <xf numFmtId="0" fontId="28" fillId="4" borderId="3" xfId="2" applyFont="1" applyFill="1" applyBorder="1" applyAlignment="1">
      <alignment horizontal="center" vertical="center" wrapText="1"/>
    </xf>
    <xf numFmtId="0" fontId="27" fillId="6" borderId="8" xfId="2" applyFont="1" applyFill="1" applyBorder="1"/>
    <xf numFmtId="0" fontId="28" fillId="0" borderId="9" xfId="2" applyFont="1" applyFill="1" applyBorder="1" applyAlignment="1">
      <alignment horizontal="left"/>
    </xf>
    <xf numFmtId="168" fontId="28" fillId="0" borderId="9" xfId="2" applyNumberFormat="1" applyFont="1" applyFill="1" applyBorder="1" applyAlignment="1">
      <alignment horizontal="right" indent="2"/>
    </xf>
    <xf numFmtId="0" fontId="24" fillId="0" borderId="0" xfId="8" applyFont="1"/>
    <xf numFmtId="0" fontId="24" fillId="0" borderId="0" xfId="8" applyFont="1" applyAlignment="1"/>
    <xf numFmtId="0" fontId="24" fillId="0" borderId="0" xfId="8" applyFont="1" applyAlignment="1">
      <alignment horizontal="center"/>
    </xf>
    <xf numFmtId="0" fontId="15" fillId="0" borderId="0" xfId="8" applyFont="1" applyAlignment="1">
      <alignment horizontal="center" wrapText="1"/>
    </xf>
    <xf numFmtId="0" fontId="42" fillId="0" borderId="0" xfId="8" applyFont="1" applyAlignment="1">
      <alignment horizontal="center"/>
    </xf>
    <xf numFmtId="0" fontId="22" fillId="0" borderId="0" xfId="8" applyFill="1"/>
    <xf numFmtId="0" fontId="41" fillId="0" borderId="0" xfId="8" applyFont="1"/>
    <xf numFmtId="0" fontId="22" fillId="0" borderId="0" xfId="8"/>
    <xf numFmtId="0" fontId="45" fillId="0" borderId="0" xfId="8" applyFont="1" applyFill="1" applyAlignment="1">
      <alignment horizontal="center" wrapText="1"/>
    </xf>
    <xf numFmtId="0" fontId="46" fillId="0" borderId="0" xfId="8" applyFont="1" applyFill="1" applyAlignment="1">
      <alignment horizontal="center"/>
    </xf>
    <xf numFmtId="0" fontId="41" fillId="0" borderId="0" xfId="8" applyFont="1" applyAlignment="1">
      <alignment horizontal="right"/>
    </xf>
    <xf numFmtId="0" fontId="44" fillId="0" borderId="0" xfId="8" applyFont="1" applyFill="1" applyAlignment="1">
      <alignment vertical="center"/>
    </xf>
    <xf numFmtId="0" fontId="41" fillId="0" borderId="20" xfId="8" applyFont="1" applyFill="1" applyBorder="1" applyAlignment="1">
      <alignment horizontal="centerContinuous"/>
    </xf>
    <xf numFmtId="0" fontId="41" fillId="0" borderId="21" xfId="8" applyFont="1" applyFill="1" applyBorder="1" applyAlignment="1">
      <alignment horizontal="centerContinuous"/>
    </xf>
    <xf numFmtId="3" fontId="41" fillId="0" borderId="0" xfId="8" applyNumberFormat="1" applyFont="1" applyFill="1"/>
    <xf numFmtId="170" fontId="41" fillId="0" borderId="0" xfId="8" applyNumberFormat="1" applyFont="1" applyAlignment="1">
      <alignment horizontal="center"/>
    </xf>
    <xf numFmtId="0" fontId="41" fillId="0" borderId="0" xfId="8" quotePrefix="1" applyFont="1" applyAlignment="1">
      <alignment horizontal="right"/>
    </xf>
    <xf numFmtId="0" fontId="47" fillId="0" borderId="0" xfId="8" applyFont="1"/>
    <xf numFmtId="0" fontId="46" fillId="0" borderId="0" xfId="8" applyFont="1" applyFill="1"/>
    <xf numFmtId="0" fontId="46" fillId="0" borderId="0" xfId="8" applyFont="1"/>
    <xf numFmtId="0" fontId="39" fillId="0" borderId="0" xfId="10" applyFont="1" applyAlignment="1">
      <alignment horizontal="left" vertical="center"/>
    </xf>
    <xf numFmtId="0" fontId="27" fillId="0" borderId="0" xfId="2" applyFont="1" applyFill="1" applyBorder="1"/>
    <xf numFmtId="3" fontId="27" fillId="0" borderId="0" xfId="2" applyNumberFormat="1" applyFont="1" applyFill="1" applyBorder="1"/>
    <xf numFmtId="170" fontId="27" fillId="0" borderId="0" xfId="2" applyNumberFormat="1" applyFont="1" applyFill="1" applyBorder="1" applyAlignment="1">
      <alignment horizontal="right" indent="2"/>
    </xf>
    <xf numFmtId="0" fontId="28" fillId="6" borderId="9" xfId="2" applyFont="1" applyFill="1" applyBorder="1" applyAlignment="1">
      <alignment horizontal="center" vertical="center" wrapText="1"/>
    </xf>
    <xf numFmtId="3" fontId="27" fillId="0" borderId="9" xfId="2" applyNumberFormat="1" applyFont="1" applyFill="1" applyBorder="1"/>
    <xf numFmtId="170" fontId="27" fillId="0" borderId="9" xfId="2" applyNumberFormat="1" applyFont="1" applyFill="1" applyBorder="1" applyAlignment="1">
      <alignment horizontal="right" indent="2"/>
    </xf>
    <xf numFmtId="172" fontId="28" fillId="6" borderId="9" xfId="2" applyNumberFormat="1" applyFont="1" applyFill="1" applyBorder="1" applyAlignment="1">
      <alignment horizontal="centerContinuous" vertical="center"/>
    </xf>
    <xf numFmtId="172" fontId="28" fillId="6" borderId="9" xfId="2" applyNumberFormat="1" applyFont="1" applyFill="1" applyBorder="1" applyAlignment="1">
      <alignment horizontal="center" vertical="center"/>
    </xf>
    <xf numFmtId="0" fontId="28" fillId="0" borderId="0" xfId="0" applyFont="1" applyAlignment="1">
      <alignment horizontal="right"/>
    </xf>
    <xf numFmtId="196" fontId="27" fillId="0" borderId="0" xfId="2" applyNumberFormat="1" applyFont="1" applyFill="1" applyBorder="1" applyAlignment="1">
      <alignment horizontal="right" indent="1"/>
    </xf>
    <xf numFmtId="197" fontId="27" fillId="0" borderId="0" xfId="2" applyNumberFormat="1" applyFont="1" applyFill="1" applyBorder="1" applyAlignment="1">
      <alignment horizontal="right" indent="1"/>
    </xf>
    <xf numFmtId="196" fontId="28" fillId="0" borderId="0" xfId="2" applyNumberFormat="1" applyFont="1" applyFill="1" applyBorder="1" applyAlignment="1">
      <alignment horizontal="right" indent="1"/>
    </xf>
    <xf numFmtId="197" fontId="28" fillId="0" borderId="0" xfId="2" applyNumberFormat="1" applyFont="1" applyFill="1" applyBorder="1" applyAlignment="1">
      <alignment horizontal="right" indent="1"/>
    </xf>
    <xf numFmtId="196" fontId="27" fillId="0" borderId="7" xfId="2" applyNumberFormat="1" applyFont="1" applyFill="1" applyBorder="1" applyAlignment="1">
      <alignment horizontal="right" indent="1"/>
    </xf>
    <xf numFmtId="197" fontId="27" fillId="0" borderId="7" xfId="2" applyNumberFormat="1" applyFont="1" applyFill="1" applyBorder="1" applyAlignment="1">
      <alignment horizontal="right" indent="1"/>
    </xf>
    <xf numFmtId="198" fontId="27" fillId="0" borderId="0" xfId="2" applyNumberFormat="1" applyFont="1" applyFill="1" applyBorder="1" applyAlignment="1">
      <alignment horizontal="right"/>
    </xf>
    <xf numFmtId="197" fontId="27" fillId="0" borderId="0" xfId="2" applyNumberFormat="1" applyFont="1" applyFill="1" applyBorder="1" applyAlignment="1">
      <alignment horizontal="right"/>
    </xf>
    <xf numFmtId="198" fontId="28" fillId="0" borderId="0" xfId="2" applyNumberFormat="1" applyFont="1" applyFill="1" applyBorder="1" applyAlignment="1">
      <alignment horizontal="right"/>
    </xf>
    <xf numFmtId="197" fontId="28" fillId="0" borderId="0" xfId="2" applyNumberFormat="1" applyFont="1" applyFill="1" applyBorder="1" applyAlignment="1">
      <alignment horizontal="right"/>
    </xf>
    <xf numFmtId="198" fontId="28" fillId="0" borderId="0" xfId="2" applyNumberFormat="1" applyFont="1" applyFill="1" applyAlignment="1">
      <alignment horizontal="right"/>
    </xf>
    <xf numFmtId="198" fontId="27" fillId="0" borderId="14" xfId="2" applyNumberFormat="1" applyFont="1" applyFill="1" applyBorder="1" applyAlignment="1">
      <alignment horizontal="right"/>
    </xf>
    <xf numFmtId="198" fontId="28" fillId="0" borderId="14" xfId="2" applyNumberFormat="1" applyFont="1" applyFill="1" applyBorder="1" applyAlignment="1">
      <alignment horizontal="right"/>
    </xf>
    <xf numFmtId="198" fontId="27" fillId="6" borderId="0" xfId="2" applyNumberFormat="1" applyFont="1" applyFill="1" applyBorder="1" applyAlignment="1">
      <alignment horizontal="right"/>
    </xf>
    <xf numFmtId="198" fontId="27" fillId="0" borderId="7" xfId="2" applyNumberFormat="1" applyFont="1" applyFill="1" applyBorder="1" applyAlignment="1">
      <alignment horizontal="right"/>
    </xf>
    <xf numFmtId="198" fontId="28" fillId="0" borderId="0" xfId="2" applyNumberFormat="1" applyFont="1" applyFill="1" applyAlignment="1">
      <alignment horizontal="right" indent="2"/>
    </xf>
    <xf numFmtId="197" fontId="13" fillId="0" borderId="0" xfId="2" applyNumberFormat="1" applyFont="1"/>
    <xf numFmtId="198" fontId="27" fillId="0" borderId="7" xfId="2" applyNumberFormat="1" applyFont="1" applyFill="1" applyBorder="1" applyAlignment="1">
      <alignment horizontal="right" indent="2"/>
    </xf>
    <xf numFmtId="198" fontId="27" fillId="0" borderId="7" xfId="10" applyNumberFormat="1" applyFont="1" applyFill="1" applyBorder="1" applyAlignment="1">
      <alignment horizontal="right" indent="2"/>
    </xf>
    <xf numFmtId="197" fontId="15" fillId="0" borderId="0" xfId="2" applyNumberFormat="1" applyFont="1"/>
    <xf numFmtId="199" fontId="28" fillId="0" borderId="14" xfId="2" applyNumberFormat="1" applyFont="1" applyFill="1" applyBorder="1" applyAlignment="1">
      <alignment horizontal="right" indent="2"/>
    </xf>
    <xf numFmtId="199" fontId="28" fillId="0" borderId="0" xfId="2" applyNumberFormat="1" applyFont="1" applyFill="1" applyBorder="1" applyAlignment="1">
      <alignment horizontal="right" indent="2"/>
    </xf>
    <xf numFmtId="198" fontId="28" fillId="0" borderId="14" xfId="2" applyNumberFormat="1" applyFont="1" applyFill="1" applyBorder="1" applyAlignment="1">
      <alignment horizontal="right" indent="2"/>
    </xf>
    <xf numFmtId="198" fontId="28" fillId="0" borderId="0" xfId="2" applyNumberFormat="1" applyFont="1" applyFill="1" applyBorder="1" applyAlignment="1">
      <alignment horizontal="right" indent="2"/>
    </xf>
    <xf numFmtId="199" fontId="27" fillId="0" borderId="7" xfId="2" applyNumberFormat="1" applyFont="1" applyFill="1" applyBorder="1" applyAlignment="1">
      <alignment horizontal="right" indent="2"/>
    </xf>
    <xf numFmtId="200" fontId="28" fillId="0" borderId="0" xfId="0" applyNumberFormat="1" applyFont="1" applyAlignment="1">
      <alignment horizontal="right"/>
    </xf>
    <xf numFmtId="201" fontId="28" fillId="0" borderId="0" xfId="0" applyNumberFormat="1" applyFont="1" applyAlignment="1">
      <alignment horizontal="right"/>
    </xf>
    <xf numFmtId="200" fontId="27" fillId="0" borderId="0" xfId="0" applyNumberFormat="1" applyFont="1" applyAlignment="1">
      <alignment horizontal="right"/>
    </xf>
    <xf numFmtId="199" fontId="28" fillId="0" borderId="0" xfId="0" applyNumberFormat="1" applyFont="1" applyAlignment="1">
      <alignment horizontal="right"/>
    </xf>
    <xf numFmtId="199" fontId="27" fillId="0" borderId="0" xfId="0" applyNumberFormat="1" applyFont="1" applyAlignment="1">
      <alignment horizontal="right"/>
    </xf>
    <xf numFmtId="198" fontId="32" fillId="0" borderId="0" xfId="2" applyNumberFormat="1" applyFont="1" applyFill="1" applyBorder="1" applyAlignment="1">
      <alignment horizontal="right" indent="2"/>
    </xf>
    <xf numFmtId="202" fontId="41" fillId="0" borderId="0" xfId="8" applyNumberFormat="1" applyFont="1" applyFill="1"/>
    <xf numFmtId="203" fontId="41" fillId="0" borderId="0" xfId="8" applyNumberFormat="1" applyFont="1" applyAlignment="1">
      <alignment horizontal="center"/>
    </xf>
    <xf numFmtId="198" fontId="27" fillId="0" borderId="0" xfId="2" applyNumberFormat="1" applyFont="1" applyFill="1" applyBorder="1" applyAlignment="1">
      <alignment horizontal="right" indent="1"/>
    </xf>
    <xf numFmtId="197" fontId="27" fillId="0" borderId="7" xfId="2" applyNumberFormat="1" applyFont="1" applyFill="1" applyBorder="1" applyAlignment="1">
      <alignment horizontal="right"/>
    </xf>
    <xf numFmtId="197" fontId="27" fillId="0" borderId="0" xfId="2" applyNumberFormat="1" applyFont="1" applyFill="1" applyBorder="1" applyAlignment="1"/>
    <xf numFmtId="200" fontId="28" fillId="0" borderId="0" xfId="0" applyNumberFormat="1" applyFont="1" applyAlignment="1"/>
    <xf numFmtId="204" fontId="28" fillId="0" borderId="0" xfId="2" applyNumberFormat="1" applyFont="1" applyFill="1" applyBorder="1" applyAlignment="1">
      <alignment horizontal="right" indent="1"/>
    </xf>
    <xf numFmtId="200" fontId="28" fillId="0" borderId="0" xfId="0" applyNumberFormat="1" applyFont="1" applyAlignment="1">
      <alignment horizontal="right" indent="1"/>
    </xf>
    <xf numFmtId="195" fontId="27" fillId="0" borderId="0" xfId="2" applyNumberFormat="1" applyFont="1" applyFill="1" applyBorder="1" applyAlignment="1">
      <alignment horizontal="right" indent="1"/>
    </xf>
    <xf numFmtId="195" fontId="28" fillId="0" borderId="0" xfId="2" applyNumberFormat="1" applyFont="1" applyFill="1" applyBorder="1" applyAlignment="1">
      <alignment horizontal="right" indent="1"/>
    </xf>
    <xf numFmtId="195" fontId="27" fillId="0" borderId="0" xfId="2" applyNumberFormat="1" applyFont="1" applyFill="1" applyBorder="1" applyAlignment="1">
      <alignment horizontal="right"/>
    </xf>
    <xf numFmtId="195" fontId="28" fillId="0" borderId="0" xfId="2" applyNumberFormat="1" applyFont="1" applyFill="1" applyBorder="1" applyAlignment="1">
      <alignment horizontal="right"/>
    </xf>
    <xf numFmtId="195" fontId="28" fillId="0" borderId="14" xfId="2" applyNumberFormat="1" applyFont="1" applyFill="1" applyBorder="1" applyAlignment="1">
      <alignment horizontal="right" indent="2"/>
    </xf>
    <xf numFmtId="0" fontId="13" fillId="0" borderId="0" xfId="2" applyFont="1" applyAlignment="1">
      <alignment horizontal="right"/>
    </xf>
    <xf numFmtId="0" fontId="13" fillId="0" borderId="0" xfId="2" applyFont="1" applyAlignment="1">
      <alignment horizontal="center"/>
    </xf>
    <xf numFmtId="0" fontId="18" fillId="0" borderId="0" xfId="4" applyFont="1" applyAlignment="1">
      <alignment horizontal="right"/>
    </xf>
    <xf numFmtId="0" fontId="17" fillId="0" borderId="0" xfId="4" applyFont="1"/>
    <xf numFmtId="0" fontId="19" fillId="0" borderId="0" xfId="4" applyFont="1" applyAlignment="1">
      <alignment horizontal="right" vertical="center"/>
    </xf>
    <xf numFmtId="0" fontId="18" fillId="0" borderId="0" xfId="4" applyFont="1" applyAlignment="1">
      <alignment horizontal="right" vertical="center"/>
    </xf>
    <xf numFmtId="0" fontId="26" fillId="0" borderId="0" xfId="4" applyFont="1" applyAlignment="1">
      <alignment horizontal="right"/>
    </xf>
    <xf numFmtId="17" fontId="26" fillId="0" borderId="0" xfId="4" quotePrefix="1" applyNumberFormat="1" applyFont="1" applyAlignment="1">
      <alignment horizontal="right"/>
    </xf>
    <xf numFmtId="17" fontId="18" fillId="0" borderId="0" xfId="4" quotePrefix="1" applyNumberFormat="1" applyFont="1" applyAlignment="1">
      <alignment horizontal="right"/>
    </xf>
    <xf numFmtId="0" fontId="39" fillId="0" borderId="0" xfId="4" applyFont="1" applyAlignment="1">
      <alignment horizontal="left" wrapText="1"/>
    </xf>
    <xf numFmtId="0" fontId="10" fillId="0" borderId="0" xfId="4" applyAlignment="1">
      <alignment horizontal="left" wrapText="1"/>
    </xf>
    <xf numFmtId="0" fontId="37" fillId="0" borderId="0" xfId="4" applyFont="1" applyAlignment="1">
      <alignment horizontal="left"/>
    </xf>
    <xf numFmtId="0" fontId="38" fillId="0" borderId="0" xfId="4" applyFont="1" applyAlignment="1">
      <alignment horizontal="left"/>
    </xf>
    <xf numFmtId="0" fontId="18" fillId="0" borderId="0" xfId="4" applyFont="1" applyAlignment="1">
      <alignment horizontal="left"/>
    </xf>
    <xf numFmtId="0" fontId="39" fillId="0" borderId="0" xfId="4" applyFont="1" applyAlignment="1">
      <alignment horizontal="left"/>
    </xf>
    <xf numFmtId="0" fontId="10" fillId="0" borderId="0" xfId="4" applyFont="1" applyAlignment="1">
      <alignment horizontal="left" wrapText="1"/>
    </xf>
    <xf numFmtId="0" fontId="10" fillId="0" borderId="0" xfId="4" applyFont="1" applyAlignment="1">
      <alignment horizontal="left"/>
    </xf>
    <xf numFmtId="0" fontId="23" fillId="0" borderId="0" xfId="9" applyAlignment="1">
      <alignment horizontal="left" wrapText="1"/>
    </xf>
    <xf numFmtId="0" fontId="1" fillId="0" borderId="0" xfId="4" applyFont="1" applyAlignment="1">
      <alignment horizontal="left" wrapText="1"/>
    </xf>
    <xf numFmtId="0" fontId="25" fillId="0" borderId="0" xfId="1" applyFont="1" applyAlignment="1">
      <alignment horizontal="left" vertical="top"/>
    </xf>
    <xf numFmtId="0" fontId="39" fillId="0" borderId="0" xfId="1" applyFont="1" applyAlignment="1">
      <alignment horizontal="left" vertical="center"/>
    </xf>
    <xf numFmtId="0" fontId="29" fillId="2" borderId="0" xfId="2" applyFont="1" applyFill="1" applyBorder="1" applyAlignment="1">
      <alignment horizontal="center" vertical="center" wrapText="1"/>
    </xf>
    <xf numFmtId="166" fontId="28" fillId="5" borderId="3" xfId="2" applyNumberFormat="1" applyFont="1" applyFill="1" applyBorder="1" applyAlignment="1">
      <alignment horizontal="center" vertical="center" wrapText="1"/>
    </xf>
    <xf numFmtId="166" fontId="28" fillId="5" borderId="4" xfId="2" applyNumberFormat="1" applyFont="1" applyFill="1" applyBorder="1" applyAlignment="1">
      <alignment horizontal="center" vertical="center" wrapText="1"/>
    </xf>
    <xf numFmtId="49" fontId="28" fillId="5" borderId="3" xfId="2" applyNumberFormat="1" applyFont="1" applyFill="1" applyBorder="1" applyAlignment="1">
      <alignment horizontal="center" vertical="center" wrapText="1"/>
    </xf>
    <xf numFmtId="0" fontId="28" fillId="5" borderId="3" xfId="2" applyFont="1" applyFill="1" applyBorder="1" applyAlignment="1">
      <alignment horizontal="center" vertical="center" wrapText="1"/>
    </xf>
    <xf numFmtId="49" fontId="28" fillId="5" borderId="3" xfId="2" applyNumberFormat="1" applyFont="1" applyFill="1" applyBorder="1" applyAlignment="1">
      <alignment horizontal="center" vertical="center"/>
    </xf>
    <xf numFmtId="49" fontId="28" fillId="5" borderId="2" xfId="2" applyNumberFormat="1" applyFont="1" applyFill="1" applyBorder="1" applyAlignment="1">
      <alignment horizontal="center" vertical="center" wrapText="1"/>
    </xf>
    <xf numFmtId="49" fontId="28" fillId="5" borderId="4" xfId="2" applyNumberFormat="1" applyFont="1" applyFill="1" applyBorder="1" applyAlignment="1">
      <alignment horizontal="center" vertical="center" wrapText="1"/>
    </xf>
    <xf numFmtId="0" fontId="29" fillId="2" borderId="0" xfId="2" applyFont="1" applyFill="1" applyBorder="1" applyAlignment="1">
      <alignment horizontal="center" vertical="top" wrapText="1"/>
    </xf>
    <xf numFmtId="0" fontId="28" fillId="5" borderId="5" xfId="2" applyFont="1" applyFill="1" applyBorder="1" applyAlignment="1">
      <alignment horizontal="center" vertical="center" wrapText="1"/>
    </xf>
    <xf numFmtId="0" fontId="28" fillId="5" borderId="6" xfId="2" applyFont="1" applyFill="1" applyBorder="1" applyAlignment="1">
      <alignment horizontal="center" vertical="center" wrapText="1"/>
    </xf>
    <xf numFmtId="0" fontId="28" fillId="5" borderId="8" xfId="2" applyFont="1" applyFill="1" applyBorder="1" applyAlignment="1">
      <alignment horizontal="center" vertical="center" wrapText="1"/>
    </xf>
    <xf numFmtId="49" fontId="28" fillId="5" borderId="11" xfId="2" applyNumberFormat="1" applyFont="1" applyFill="1" applyBorder="1" applyAlignment="1">
      <alignment horizontal="center" vertical="center" wrapText="1"/>
    </xf>
    <xf numFmtId="49" fontId="28" fillId="5" borderId="13" xfId="2" applyNumberFormat="1" applyFont="1" applyFill="1" applyBorder="1" applyAlignment="1">
      <alignment horizontal="center" vertical="center" wrapText="1"/>
    </xf>
    <xf numFmtId="49" fontId="28" fillId="5" borderId="12" xfId="2" applyNumberFormat="1" applyFont="1" applyFill="1" applyBorder="1" applyAlignment="1">
      <alignment horizontal="center" vertical="center" wrapText="1"/>
    </xf>
    <xf numFmtId="0" fontId="28" fillId="5" borderId="4" xfId="2" applyFont="1" applyFill="1" applyBorder="1" applyAlignment="1">
      <alignment horizontal="center" vertical="center"/>
    </xf>
    <xf numFmtId="0" fontId="28" fillId="5" borderId="2" xfId="2" applyFont="1" applyFill="1" applyBorder="1" applyAlignment="1">
      <alignment horizontal="center" vertical="center"/>
    </xf>
    <xf numFmtId="0" fontId="28" fillId="5" borderId="10" xfId="2" applyFont="1" applyFill="1" applyBorder="1" applyAlignment="1">
      <alignment horizontal="center" vertical="center"/>
    </xf>
    <xf numFmtId="49" fontId="28" fillId="5" borderId="10" xfId="2" applyNumberFormat="1" applyFont="1" applyFill="1" applyBorder="1" applyAlignment="1">
      <alignment horizontal="center" vertical="center" wrapText="1"/>
    </xf>
    <xf numFmtId="0" fontId="28" fillId="3" borderId="2" xfId="2" applyFont="1" applyFill="1" applyBorder="1" applyAlignment="1">
      <alignment horizontal="center" vertical="center" wrapText="1"/>
    </xf>
    <xf numFmtId="0" fontId="29" fillId="0" borderId="0" xfId="2" applyFont="1" applyFill="1" applyAlignment="1">
      <alignment horizontal="center"/>
    </xf>
    <xf numFmtId="0" fontId="36" fillId="0" borderId="0" xfId="2" applyFont="1" applyFill="1" applyAlignment="1">
      <alignment horizontal="center"/>
    </xf>
    <xf numFmtId="0" fontId="28" fillId="5" borderId="2" xfId="2" applyFont="1" applyFill="1" applyBorder="1" applyAlignment="1">
      <alignment horizontal="center" vertical="center" wrapText="1"/>
    </xf>
    <xf numFmtId="0" fontId="28" fillId="5" borderId="3" xfId="2" applyFont="1" applyFill="1" applyBorder="1" applyAlignment="1">
      <alignment horizontal="center" vertical="center"/>
    </xf>
    <xf numFmtId="49" fontId="36" fillId="0" borderId="0" xfId="2" applyNumberFormat="1" applyFont="1" applyFill="1" applyBorder="1" applyAlignment="1">
      <alignment horizontal="center"/>
    </xf>
    <xf numFmtId="49" fontId="36" fillId="0" borderId="0" xfId="2" applyNumberFormat="1" applyFont="1" applyFill="1" applyBorder="1" applyAlignment="1">
      <alignment horizontal="center" vertical="center"/>
    </xf>
    <xf numFmtId="169" fontId="34" fillId="0" borderId="0" xfId="2" applyNumberFormat="1" applyFont="1" applyAlignment="1">
      <alignment horizontal="left"/>
    </xf>
    <xf numFmtId="0" fontId="29" fillId="0" borderId="0" xfId="2" applyFont="1" applyAlignment="1">
      <alignment horizontal="center"/>
    </xf>
    <xf numFmtId="0" fontId="29" fillId="0" borderId="0" xfId="2" applyFont="1" applyBorder="1" applyAlignment="1">
      <alignment horizontal="center" wrapText="1"/>
    </xf>
    <xf numFmtId="0" fontId="14" fillId="0" borderId="0" xfId="2" applyFont="1" applyBorder="1" applyAlignment="1">
      <alignment horizontal="justify"/>
    </xf>
    <xf numFmtId="0" fontId="28" fillId="3" borderId="2" xfId="2" applyFont="1" applyFill="1" applyBorder="1" applyAlignment="1">
      <alignment horizontal="center" vertical="center"/>
    </xf>
    <xf numFmtId="0" fontId="28" fillId="3" borderId="3" xfId="2" applyFont="1" applyFill="1" applyBorder="1" applyAlignment="1">
      <alignment horizontal="center" vertical="center"/>
    </xf>
    <xf numFmtId="0" fontId="28" fillId="4" borderId="3" xfId="2" applyFont="1" applyFill="1" applyBorder="1" applyAlignment="1">
      <alignment horizontal="center" vertical="center"/>
    </xf>
    <xf numFmtId="0" fontId="28" fillId="4" borderId="4" xfId="2" applyFont="1" applyFill="1" applyBorder="1" applyAlignment="1">
      <alignment horizontal="center" vertical="center"/>
    </xf>
    <xf numFmtId="0" fontId="28" fillId="4" borderId="3" xfId="2" applyFont="1" applyFill="1" applyBorder="1" applyAlignment="1">
      <alignment horizontal="center" vertical="center" wrapText="1"/>
    </xf>
    <xf numFmtId="0" fontId="41" fillId="0" borderId="19" xfId="8" applyFont="1" applyBorder="1" applyAlignment="1">
      <alignment horizontal="center" vertical="center"/>
    </xf>
    <xf numFmtId="0" fontId="41" fillId="0" borderId="17" xfId="8" applyFont="1" applyBorder="1" applyAlignment="1">
      <alignment horizontal="center" vertical="center"/>
    </xf>
    <xf numFmtId="0" fontId="41" fillId="0" borderId="19" xfId="8" applyFont="1" applyBorder="1" applyAlignment="1">
      <alignment horizontal="center" vertical="center" wrapText="1"/>
    </xf>
    <xf numFmtId="0" fontId="41" fillId="0" borderId="17" xfId="8" applyFont="1" applyBorder="1" applyAlignment="1">
      <alignment horizontal="center" vertical="center" wrapText="1"/>
    </xf>
    <xf numFmtId="0" fontId="24" fillId="10" borderId="22" xfId="8" applyFont="1" applyFill="1" applyBorder="1" applyAlignment="1">
      <alignment horizontal="center" vertical="center"/>
    </xf>
    <xf numFmtId="0" fontId="24" fillId="10" borderId="24" xfId="8" applyFont="1" applyFill="1" applyBorder="1" applyAlignment="1">
      <alignment horizontal="center" vertical="center"/>
    </xf>
    <xf numFmtId="0" fontId="24" fillId="10" borderId="23" xfId="8" applyFont="1" applyFill="1" applyBorder="1" applyAlignment="1">
      <alignment horizontal="center" vertical="center" wrapText="1"/>
    </xf>
    <xf numFmtId="0" fontId="24" fillId="10" borderId="25" xfId="8" applyFont="1" applyFill="1" applyBorder="1" applyAlignment="1">
      <alignment horizontal="center" vertical="center" wrapText="1"/>
    </xf>
    <xf numFmtId="0" fontId="24" fillId="10" borderId="22" xfId="8" quotePrefix="1" applyFont="1" applyFill="1" applyBorder="1" applyAlignment="1">
      <alignment horizontal="center" vertical="center"/>
    </xf>
    <xf numFmtId="0" fontId="24" fillId="10" borderId="23" xfId="8" quotePrefix="1" applyFont="1" applyFill="1" applyBorder="1" applyAlignment="1">
      <alignment horizontal="center" vertical="center" wrapText="1"/>
    </xf>
  </cellXfs>
  <cellStyles count="459">
    <cellStyle name="20 % - Akzent1 2" xfId="87"/>
    <cellStyle name="20 % - Akzent2 2" xfId="88"/>
    <cellStyle name="20 % - Akzent3 2" xfId="89"/>
    <cellStyle name="20 % - Akzent4 2" xfId="90"/>
    <cellStyle name="20 % - Akzent5 2" xfId="91"/>
    <cellStyle name="20 % - Akzent6 2" xfId="92"/>
    <cellStyle name="20% - Akzent1" xfId="43"/>
    <cellStyle name="20% - Akzent2" xfId="44"/>
    <cellStyle name="20% - Akzent3" xfId="45"/>
    <cellStyle name="20% - Akzent4" xfId="46"/>
    <cellStyle name="20% - Akzent5" xfId="47"/>
    <cellStyle name="20% - Akzent6" xfId="48"/>
    <cellStyle name="40 % - Akzent1 2" xfId="93"/>
    <cellStyle name="40 % - Akzent2 2" xfId="94"/>
    <cellStyle name="40 % - Akzent3 2" xfId="95"/>
    <cellStyle name="40 % - Akzent4 2" xfId="96"/>
    <cellStyle name="40 % - Akzent5 2" xfId="97"/>
    <cellStyle name="40 % - Akzent6 2" xfId="98"/>
    <cellStyle name="40% - Akzent1" xfId="49"/>
    <cellStyle name="40% - Akzent2" xfId="50"/>
    <cellStyle name="40% - Akzent3" xfId="51"/>
    <cellStyle name="40% - Akzent4" xfId="52"/>
    <cellStyle name="40% - Akzent5" xfId="53"/>
    <cellStyle name="40% - Akzent6" xfId="54"/>
    <cellStyle name="60 % - Akzent1 2" xfId="99"/>
    <cellStyle name="60 % - Akzent2 2" xfId="100"/>
    <cellStyle name="60 % - Akzent3 2" xfId="101"/>
    <cellStyle name="60 % - Akzent4 2" xfId="102"/>
    <cellStyle name="60 % - Akzent5 2" xfId="103"/>
    <cellStyle name="60 % - Akzent6 2" xfId="104"/>
    <cellStyle name="60% - Akzent1" xfId="55"/>
    <cellStyle name="60% - Akzent2" xfId="56"/>
    <cellStyle name="60% - Akzent3" xfId="57"/>
    <cellStyle name="60% - Akzent4" xfId="58"/>
    <cellStyle name="60% - Akzent5" xfId="59"/>
    <cellStyle name="60% - Akzent6" xfId="60"/>
    <cellStyle name="Akzent1 2" xfId="105"/>
    <cellStyle name="Akzent2 2" xfId="106"/>
    <cellStyle name="Akzent3 2" xfId="107"/>
    <cellStyle name="Akzent4 2" xfId="108"/>
    <cellStyle name="Akzent5 2" xfId="109"/>
    <cellStyle name="Akzent6 2" xfId="110"/>
    <cellStyle name="AllgAus" xfId="111"/>
    <cellStyle name="AllgEin" xfId="112"/>
    <cellStyle name="Arial, 10pt" xfId="5"/>
    <cellStyle name="Arial, 10pt 2" xfId="25"/>
    <cellStyle name="Arial, 10pt 3" xfId="29"/>
    <cellStyle name="Arial, 10pt 4" xfId="33"/>
    <cellStyle name="Arial, 8pt" xfId="6"/>
    <cellStyle name="Arial, 9pt" xfId="7"/>
    <cellStyle name="Ariel" xfId="113"/>
    <cellStyle name="Aus" xfId="114"/>
    <cellStyle name="Ausgabe 2" xfId="115"/>
    <cellStyle name="BasisEineNK" xfId="116"/>
    <cellStyle name="BasisOhneNK" xfId="117"/>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Eingabe 2" xfId="132"/>
    <cellStyle name="ErfAus" xfId="133"/>
    <cellStyle name="ErfEin" xfId="134"/>
    <cellStyle name="Ergebnis 2" xfId="135"/>
    <cellStyle name="Erklärender Text 2" xfId="136"/>
    <cellStyle name="ErrRpt_DataEntryCells" xfId="137"/>
    <cellStyle name="ErrRpt-DataEntryCells" xfId="138"/>
    <cellStyle name="ErrRpt-GreyBackground" xfId="139"/>
    <cellStyle name="Euro" xfId="140"/>
    <cellStyle name="Euro 2" xfId="141"/>
    <cellStyle name="Finz2Ein" xfId="142"/>
    <cellStyle name="Finz3Ein" xfId="143"/>
    <cellStyle name="FinzAus" xfId="144"/>
    <cellStyle name="FinzEin" xfId="145"/>
    <cellStyle name="FordDM" xfId="146"/>
    <cellStyle name="FordEU" xfId="147"/>
    <cellStyle name="formula" xfId="148"/>
    <cellStyle name="FreiWeiß" xfId="149"/>
    <cellStyle name="FreiWeiß 2" xfId="150"/>
    <cellStyle name="Fußnote" xfId="151"/>
    <cellStyle name="gap" xfId="152"/>
    <cellStyle name="GesperrtGelb" xfId="153"/>
    <cellStyle name="GesperrtGelb 2" xfId="154"/>
    <cellStyle name="GesperrtSchraffiert" xfId="155"/>
    <cellStyle name="GesperrtSchraffiert 2" xfId="156"/>
    <cellStyle name="GJhrEin" xfId="157"/>
    <cellStyle name="GreyBackground" xfId="158"/>
    <cellStyle name="Gut 2" xfId="159"/>
    <cellStyle name="Hyperlink" xfId="9" builtinId="8"/>
    <cellStyle name="Hyperlink 2" xfId="23"/>
    <cellStyle name="Hyperlink 2 2" xfId="61"/>
    <cellStyle name="Hyperlink 3" xfId="83"/>
    <cellStyle name="ISC" xfId="160"/>
    <cellStyle name="isced" xfId="161"/>
    <cellStyle name="ISCED Titles" xfId="162"/>
    <cellStyle name="Komma 2" xfId="62"/>
    <cellStyle name="Kopf" xfId="163"/>
    <cellStyle name="Leerzellen/Rand grau" xfId="164"/>
    <cellStyle name="level1a" xfId="165"/>
    <cellStyle name="level2" xfId="166"/>
    <cellStyle name="level2a" xfId="167"/>
    <cellStyle name="level2a 2" xfId="168"/>
    <cellStyle name="level3" xfId="169"/>
    <cellStyle name="Migliaia (0)_conti99" xfId="170"/>
    <cellStyle name="Neutral 2" xfId="171"/>
    <cellStyle name="Normal_00enrl" xfId="172"/>
    <cellStyle name="Notiz 2" xfId="173"/>
    <cellStyle name="Notiz 2 2" xfId="174"/>
    <cellStyle name="Notiz 2 2 2" xfId="175"/>
    <cellStyle name="o.Tausender" xfId="176"/>
    <cellStyle name="Percent_1 SubOverv.USd" xfId="177"/>
    <cellStyle name="ProzVeränderung" xfId="178"/>
    <cellStyle name="row" xfId="179"/>
    <cellStyle name="RowCodes" xfId="180"/>
    <cellStyle name="Row-Col Headings" xfId="181"/>
    <cellStyle name="RowTitles" xfId="182"/>
    <cellStyle name="RowTitles1-Detail" xfId="183"/>
    <cellStyle name="RowTitles-Col2" xfId="184"/>
    <cellStyle name="RowTitles-Detail" xfId="185"/>
    <cellStyle name="Schlecht 2" xfId="186"/>
    <cellStyle name="Standard" xfId="0" builtinId="0"/>
    <cellStyle name="Standard 10" xfId="18"/>
    <cellStyle name="Standard 10 2" xfId="64"/>
    <cellStyle name="Standard 10 2 2" xfId="187"/>
    <cellStyle name="Standard 10 3" xfId="188"/>
    <cellStyle name="Standard 10 4" xfId="63"/>
    <cellStyle name="Standard 11" xfId="65"/>
    <cellStyle name="Standard 11 2" xfId="189"/>
    <cellStyle name="Standard 11 2 2" xfId="190"/>
    <cellStyle name="Standard 11 3" xfId="191"/>
    <cellStyle name="Standard 12" xfId="66"/>
    <cellStyle name="Standard 12 2" xfId="67"/>
    <cellStyle name="Standard 12 2 2" xfId="192"/>
    <cellStyle name="Standard 12 2 2 2" xfId="193"/>
    <cellStyle name="Standard 12 3" xfId="194"/>
    <cellStyle name="Standard 13" xfId="68"/>
    <cellStyle name="Standard 13 2" xfId="195"/>
    <cellStyle name="Standard 13 3" xfId="196"/>
    <cellStyle name="Standard 14" xfId="78"/>
    <cellStyle name="Standard 14 2" xfId="197"/>
    <cellStyle name="Standard 15" xfId="79"/>
    <cellStyle name="Standard 15 2" xfId="85"/>
    <cellStyle name="Standard 15 2 2" xfId="198"/>
    <cellStyle name="Standard 16" xfId="82"/>
    <cellStyle name="Standard 16 2" xfId="200"/>
    <cellStyle name="Standard 16 3" xfId="201"/>
    <cellStyle name="Standard 16 4" xfId="199"/>
    <cellStyle name="Standard 17" xfId="202"/>
    <cellStyle name="Standard 17 2" xfId="203"/>
    <cellStyle name="Standard 18" xfId="204"/>
    <cellStyle name="Standard 18 2" xfId="205"/>
    <cellStyle name="Standard 19" xfId="206"/>
    <cellStyle name="Standard 19 2" xfId="207"/>
    <cellStyle name="Standard 19 2 2" xfId="208"/>
    <cellStyle name="Standard 19 3" xfId="209"/>
    <cellStyle name="Standard 19 3 2" xfId="210"/>
    <cellStyle name="Standard 19 3 3" xfId="211"/>
    <cellStyle name="Standard 19 4" xfId="212"/>
    <cellStyle name="Standard 19 5" xfId="213"/>
    <cellStyle name="Standard 2" xfId="1"/>
    <cellStyle name="Standard 2 10" xfId="214"/>
    <cellStyle name="Standard 2 10 2" xfId="215"/>
    <cellStyle name="Standard 2 11" xfId="216"/>
    <cellStyle name="Standard 2 11 2" xfId="217"/>
    <cellStyle name="Standard 2 12" xfId="218"/>
    <cellStyle name="Standard 2 12 2" xfId="219"/>
    <cellStyle name="Standard 2 13" xfId="220"/>
    <cellStyle name="Standard 2 13 2" xfId="221"/>
    <cellStyle name="Standard 2 14" xfId="222"/>
    <cellStyle name="Standard 2 14 2" xfId="223"/>
    <cellStyle name="Standard 2 15" xfId="224"/>
    <cellStyle name="Standard 2 15 2" xfId="225"/>
    <cellStyle name="Standard 2 16" xfId="226"/>
    <cellStyle name="Standard 2 17" xfId="227"/>
    <cellStyle name="Standard 2 18" xfId="34"/>
    <cellStyle name="Standard 2 2" xfId="10"/>
    <cellStyle name="Standard 2 2 2" xfId="22"/>
    <cellStyle name="Standard 2 2 2 2" xfId="228"/>
    <cellStyle name="Standard 2 2 2 3" xfId="229"/>
    <cellStyle name="Standard 2 2 3" xfId="230"/>
    <cellStyle name="Standard 2 2 4" xfId="231"/>
    <cellStyle name="Standard 2 2 5" xfId="35"/>
    <cellStyle name="Standard 2 3" xfId="19"/>
    <cellStyle name="Standard 2 3 2" xfId="232"/>
    <cellStyle name="Standard 2 4" xfId="40"/>
    <cellStyle name="Standard 2 4 2" xfId="233"/>
    <cellStyle name="Standard 2 5" xfId="42"/>
    <cellStyle name="Standard 2 5 2" xfId="234"/>
    <cellStyle name="Standard 2 5 3" xfId="86"/>
    <cellStyle name="Standard 2 6" xfId="235"/>
    <cellStyle name="Standard 2 6 2" xfId="236"/>
    <cellStyle name="Standard 2 7" xfId="237"/>
    <cellStyle name="Standard 2 7 2" xfId="238"/>
    <cellStyle name="Standard 2 8" xfId="239"/>
    <cellStyle name="Standard 2 8 2" xfId="240"/>
    <cellStyle name="Standard 2 9" xfId="241"/>
    <cellStyle name="Standard 2 9 2" xfId="242"/>
    <cellStyle name="Standard 20" xfId="243"/>
    <cellStyle name="Standard 20 2" xfId="244"/>
    <cellStyle name="Standard 21" xfId="245"/>
    <cellStyle name="Standard 21 2" xfId="246"/>
    <cellStyle name="Standard 21 2 2" xfId="247"/>
    <cellStyle name="Standard 21 3" xfId="248"/>
    <cellStyle name="Standard 22" xfId="249"/>
    <cellStyle name="Standard 22 2" xfId="250"/>
    <cellStyle name="Standard 23" xfId="251"/>
    <cellStyle name="Standard 23 2" xfId="252"/>
    <cellStyle name="Standard 24" xfId="253"/>
    <cellStyle name="Standard 24 2" xfId="254"/>
    <cellStyle name="Standard 25" xfId="255"/>
    <cellStyle name="Standard 25 2" xfId="256"/>
    <cellStyle name="Standard 26" xfId="257"/>
    <cellStyle name="Standard 26 2" xfId="258"/>
    <cellStyle name="Standard 27" xfId="259"/>
    <cellStyle name="Standard 27 2" xfId="260"/>
    <cellStyle name="Standard 28" xfId="261"/>
    <cellStyle name="Standard 28 2" xfId="262"/>
    <cellStyle name="Standard 29" xfId="263"/>
    <cellStyle name="Standard 29 2" xfId="264"/>
    <cellStyle name="Standard 29 2 2" xfId="265"/>
    <cellStyle name="Standard 3" xfId="2"/>
    <cellStyle name="Standard 3 2" xfId="8"/>
    <cellStyle name="Standard 3 2 2" xfId="266"/>
    <cellStyle name="Standard 3 2 2 2" xfId="267"/>
    <cellStyle name="Standard 3 2 3" xfId="268"/>
    <cellStyle name="Standard 3 3" xfId="69"/>
    <cellStyle name="Standard 3 3 2" xfId="269"/>
    <cellStyle name="Standard 3 4" xfId="81"/>
    <cellStyle name="Standard 3 4 2" xfId="270"/>
    <cellStyle name="Standard 3 5" xfId="271"/>
    <cellStyle name="Standard 30" xfId="272"/>
    <cellStyle name="Standard 30 2" xfId="273"/>
    <cellStyle name="Standard 31" xfId="274"/>
    <cellStyle name="Standard 31 2" xfId="275"/>
    <cellStyle name="Standard 32" xfId="276"/>
    <cellStyle name="Standard 32 2" xfId="277"/>
    <cellStyle name="Standard 33" xfId="278"/>
    <cellStyle name="Standard 33 2" xfId="279"/>
    <cellStyle name="Standard 34" xfId="280"/>
    <cellStyle name="Standard 34 2" xfId="281"/>
    <cellStyle name="Standard 35" xfId="282"/>
    <cellStyle name="Standard 35 2" xfId="283"/>
    <cellStyle name="Standard 36" xfId="284"/>
    <cellStyle name="Standard 36 2" xfId="285"/>
    <cellStyle name="Standard 37" xfId="286"/>
    <cellStyle name="Standard 37 2" xfId="287"/>
    <cellStyle name="Standard 38" xfId="288"/>
    <cellStyle name="Standard 38 2" xfId="289"/>
    <cellStyle name="Standard 39" xfId="290"/>
    <cellStyle name="Standard 39 2" xfId="291"/>
    <cellStyle name="Standard 4" xfId="3"/>
    <cellStyle name="Standard 4 2" xfId="15"/>
    <cellStyle name="Standard 4 2 2" xfId="27"/>
    <cellStyle name="Standard 4 2 2 2" xfId="292"/>
    <cellStyle name="Standard 4 2 3" xfId="293"/>
    <cellStyle name="Standard 4 3" xfId="20"/>
    <cellStyle name="Standard 4 3 2" xfId="294"/>
    <cellStyle name="Standard 4 4" xfId="295"/>
    <cellStyle name="Standard 4 5" xfId="36"/>
    <cellStyle name="Standard 40" xfId="296"/>
    <cellStyle name="Standard 40 2" xfId="297"/>
    <cellStyle name="Standard 41" xfId="298"/>
    <cellStyle name="Standard 41 2" xfId="299"/>
    <cellStyle name="Standard 42" xfId="300"/>
    <cellStyle name="Standard 42 2" xfId="301"/>
    <cellStyle name="Standard 43" xfId="302"/>
    <cellStyle name="Standard 43 2" xfId="303"/>
    <cellStyle name="Standard 44" xfId="304"/>
    <cellStyle name="Standard 44 2" xfId="305"/>
    <cellStyle name="Standard 45" xfId="306"/>
    <cellStyle name="Standard 45 2" xfId="307"/>
    <cellStyle name="Standard 46" xfId="308"/>
    <cellStyle name="Standard 46 2" xfId="309"/>
    <cellStyle name="Standard 47" xfId="310"/>
    <cellStyle name="Standard 47 2" xfId="311"/>
    <cellStyle name="Standard 48" xfId="312"/>
    <cellStyle name="Standard 48 2" xfId="313"/>
    <cellStyle name="Standard 49" xfId="314"/>
    <cellStyle name="Standard 49 2" xfId="315"/>
    <cellStyle name="Standard 5" xfId="4"/>
    <cellStyle name="Standard 5 2" xfId="21"/>
    <cellStyle name="Standard 5 2 2" xfId="317"/>
    <cellStyle name="Standard 5 2 2 2" xfId="318"/>
    <cellStyle name="Standard 5 2 3" xfId="319"/>
    <cellStyle name="Standard 5 2 4" xfId="316"/>
    <cellStyle name="Standard 5 3" xfId="320"/>
    <cellStyle name="Standard 5 3 2" xfId="321"/>
    <cellStyle name="Standard 5 4" xfId="322"/>
    <cellStyle name="Standard 5 5" xfId="37"/>
    <cellStyle name="Standard 50" xfId="323"/>
    <cellStyle name="Standard 50 2" xfId="324"/>
    <cellStyle name="Standard 50 2 2" xfId="325"/>
    <cellStyle name="Standard 50 2 2 2" xfId="326"/>
    <cellStyle name="Standard 50 2 3" xfId="327"/>
    <cellStyle name="Standard 50 3" xfId="328"/>
    <cellStyle name="Standard 50 4" xfId="329"/>
    <cellStyle name="Standard 51" xfId="330"/>
    <cellStyle name="Standard 51 2" xfId="331"/>
    <cellStyle name="Standard 52" xfId="332"/>
    <cellStyle name="Standard 52 2" xfId="333"/>
    <cellStyle name="Standard 53" xfId="334"/>
    <cellStyle name="Standard 53 2" xfId="335"/>
    <cellStyle name="Standard 54" xfId="336"/>
    <cellStyle name="Standard 54 2" xfId="337"/>
    <cellStyle name="Standard 55" xfId="338"/>
    <cellStyle name="Standard 55 2" xfId="339"/>
    <cellStyle name="Standard 56" xfId="340"/>
    <cellStyle name="Standard 56 2" xfId="341"/>
    <cellStyle name="Standard 57" xfId="342"/>
    <cellStyle name="Standard 57 2" xfId="343"/>
    <cellStyle name="Standard 58" xfId="344"/>
    <cellStyle name="Standard 58 2" xfId="345"/>
    <cellStyle name="Standard 59" xfId="346"/>
    <cellStyle name="Standard 59 2" xfId="347"/>
    <cellStyle name="Standard 59 2 2" xfId="348"/>
    <cellStyle name="Standard 59 2 2 2" xfId="349"/>
    <cellStyle name="Standard 59 2 2 3" xfId="350"/>
    <cellStyle name="Standard 59 2 3" xfId="351"/>
    <cellStyle name="Standard 59 3" xfId="352"/>
    <cellStyle name="Standard 59 3 2" xfId="353"/>
    <cellStyle name="Standard 59 3 2 2" xfId="354"/>
    <cellStyle name="Standard 59 3 3" xfId="355"/>
    <cellStyle name="Standard 59 4" xfId="356"/>
    <cellStyle name="Standard 6" xfId="11"/>
    <cellStyle name="Standard 6 2" xfId="16"/>
    <cellStyle name="Standard 6 2 2" xfId="357"/>
    <cellStyle name="Standard 6 3" xfId="24"/>
    <cellStyle name="Standard 6 3 2" xfId="359"/>
    <cellStyle name="Standard 6 3 2 2" xfId="360"/>
    <cellStyle name="Standard 6 3 3" xfId="361"/>
    <cellStyle name="Standard 6 3 4" xfId="358"/>
    <cellStyle name="Standard 6 4" xfId="362"/>
    <cellStyle name="Standard 6 4 2" xfId="363"/>
    <cellStyle name="Standard 6 5" xfId="364"/>
    <cellStyle name="Standard 60" xfId="365"/>
    <cellStyle name="Standard 60 2" xfId="366"/>
    <cellStyle name="Standard 60 2 2" xfId="367"/>
    <cellStyle name="Standard 60 3" xfId="368"/>
    <cellStyle name="Standard 61" xfId="369"/>
    <cellStyle name="Standard 61 2" xfId="370"/>
    <cellStyle name="Standard 61 2 2" xfId="371"/>
    <cellStyle name="Standard 61 3" xfId="372"/>
    <cellStyle name="Standard 62" xfId="373"/>
    <cellStyle name="Standard 62 2" xfId="374"/>
    <cellStyle name="Standard 62 3" xfId="375"/>
    <cellStyle name="Standard 63" xfId="376"/>
    <cellStyle name="Standard 63 2" xfId="377"/>
    <cellStyle name="Standard 64" xfId="378"/>
    <cellStyle name="Standard 64 2" xfId="379"/>
    <cellStyle name="Standard 65" xfId="380"/>
    <cellStyle name="Standard 65 2" xfId="381"/>
    <cellStyle name="Standard 66" xfId="32"/>
    <cellStyle name="Standard 7" xfId="12"/>
    <cellStyle name="Standard 7 2" xfId="17"/>
    <cellStyle name="Standard 7 2 2" xfId="383"/>
    <cellStyle name="Standard 7 2 3" xfId="384"/>
    <cellStyle name="Standard 7 2 4" xfId="382"/>
    <cellStyle name="Standard 7 2 5" xfId="41"/>
    <cellStyle name="Standard 7 3" xfId="26"/>
    <cellStyle name="Standard 7 3 2" xfId="385"/>
    <cellStyle name="Standard 7 3 3" xfId="70"/>
    <cellStyle name="Standard 7 4" xfId="28"/>
    <cellStyle name="Standard 7 4 2" xfId="387"/>
    <cellStyle name="Standard 7 4 3" xfId="386"/>
    <cellStyle name="Standard 7 4 4" xfId="84"/>
    <cellStyle name="Standard 7 5" xfId="388"/>
    <cellStyle name="Standard 7 5 2" xfId="389"/>
    <cellStyle name="Standard 7 5 2 2" xfId="390"/>
    <cellStyle name="Standard 7 5 3" xfId="391"/>
    <cellStyle name="Standard 7 6" xfId="392"/>
    <cellStyle name="Standard 7 6 2" xfId="393"/>
    <cellStyle name="Standard 7 7" xfId="394"/>
    <cellStyle name="Standard 7 7 2" xfId="395"/>
    <cellStyle name="Standard 7 8" xfId="38"/>
    <cellStyle name="Standard 8" xfId="14"/>
    <cellStyle name="Standard 8 10" xfId="396"/>
    <cellStyle name="Standard 8 10 2" xfId="397"/>
    <cellStyle name="Standard 8 11" xfId="398"/>
    <cellStyle name="Standard 8 12" xfId="71"/>
    <cellStyle name="Standard 8 2" xfId="80"/>
    <cellStyle name="Standard 8 2 2" xfId="400"/>
    <cellStyle name="Standard 8 2 3" xfId="399"/>
    <cellStyle name="Standard 8 3" xfId="401"/>
    <cellStyle name="Standard 8 3 2" xfId="402"/>
    <cellStyle name="Standard 8 4" xfId="403"/>
    <cellStyle name="Standard 8 4 2" xfId="404"/>
    <cellStyle name="Standard 8 4 2 2" xfId="405"/>
    <cellStyle name="Standard 8 4 3" xfId="406"/>
    <cellStyle name="Standard 8 5" xfId="407"/>
    <cellStyle name="Standard 8 5 2" xfId="408"/>
    <cellStyle name="Standard 8 6" xfId="409"/>
    <cellStyle name="Standard 8 6 2" xfId="410"/>
    <cellStyle name="Standard 8 7" xfId="411"/>
    <cellStyle name="Standard 8 7 2" xfId="412"/>
    <cellStyle name="Standard 8 8" xfId="413"/>
    <cellStyle name="Standard 8 8 2" xfId="414"/>
    <cellStyle name="Standard 8 9" xfId="415"/>
    <cellStyle name="Standard 8 9 2" xfId="416"/>
    <cellStyle name="Standard 9" xfId="13"/>
    <cellStyle name="Standard 9 2" xfId="31"/>
    <cellStyle name="Standard 9 2 2" xfId="74"/>
    <cellStyle name="Standard 9 2 3" xfId="73"/>
    <cellStyle name="Standard 9 3" xfId="30"/>
    <cellStyle name="Standard 9 3 2" xfId="75"/>
    <cellStyle name="Standard 9 3 3" xfId="39"/>
    <cellStyle name="Standard 9 4" xfId="76"/>
    <cellStyle name="Standard 9 4 2" xfId="77"/>
    <cellStyle name="Standard 9 5" xfId="72"/>
    <cellStyle name="Stil 1" xfId="417"/>
    <cellStyle name="Stil 2" xfId="418"/>
    <cellStyle name="Tabelle grau" xfId="419"/>
    <cellStyle name="Tabelle grau 2" xfId="420"/>
    <cellStyle name="Tabelle Weiss" xfId="421"/>
    <cellStyle name="Tausender" xfId="422"/>
    <cellStyle name="Tausender 2" xfId="423"/>
    <cellStyle name="tausender 2 2" xfId="424"/>
    <cellStyle name="Tausender 3" xfId="425"/>
    <cellStyle name="Tausender Komma" xfId="426"/>
    <cellStyle name="tausender mit komma" xfId="427"/>
    <cellStyle name="Tausender_Komma" xfId="428"/>
    <cellStyle name="temp" xfId="429"/>
    <cellStyle name="Text grau" xfId="430"/>
    <cellStyle name="Text grau 2" xfId="431"/>
    <cellStyle name="Text grau 3" xfId="432"/>
    <cellStyle name="Text weiß" xfId="433"/>
    <cellStyle name="Textkasten rot" xfId="434"/>
    <cellStyle name="title1" xfId="435"/>
    <cellStyle name="Trennstrich grau" xfId="436"/>
    <cellStyle name="Trennstrich grau 2" xfId="437"/>
    <cellStyle name="Trennstrich weiß" xfId="438"/>
    <cellStyle name="TxtAus" xfId="439"/>
    <cellStyle name="TxtEin" xfId="440"/>
    <cellStyle name="Überschrift 1 2" xfId="441"/>
    <cellStyle name="Überschrift 2 2" xfId="442"/>
    <cellStyle name="Überschrift 3 2" xfId="443"/>
    <cellStyle name="Überschrift 4 2" xfId="444"/>
    <cellStyle name="Überschrift 5" xfId="445"/>
    <cellStyle name="Überschrift Hintergrund Grau" xfId="446"/>
    <cellStyle name="Überschriften" xfId="447"/>
    <cellStyle name="Verknüpfte Zelle 2" xfId="448"/>
    <cellStyle name="Versuch" xfId="449"/>
    <cellStyle name="Währung 2" xfId="450"/>
    <cellStyle name="Warnender Text 2" xfId="451"/>
    <cellStyle name="WisysEin" xfId="452"/>
    <cellStyle name="WzAus" xfId="453"/>
    <cellStyle name="WzEin" xfId="454"/>
    <cellStyle name="Zelle mit 2.Komma" xfId="455"/>
    <cellStyle name="Zelle mit Rand" xfId="456"/>
    <cellStyle name="Zelle überprüfen 2" xfId="457"/>
    <cellStyle name="Zwischenüberschrift" xfId="458"/>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4AAC8"/>
      <color rgb="FFEBEBEB"/>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invertIfNegative val="0"/>
          <c:dLbls>
            <c:delete val="1"/>
          </c:dLbls>
          <c:cat>
            <c:numRef>
              <c:f>TB5_1!$A$8:$A$28</c:f>
              <c:numCache>
                <c:formatCode>0;[Red]0</c:formatCode>
                <c:ptCount val="21"/>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pt idx="19" formatCode="General">
                  <c:v>2015</c:v>
                </c:pt>
                <c:pt idx="20" formatCode="General">
                  <c:v>2016</c:v>
                </c:pt>
              </c:numCache>
            </c:numRef>
          </c:cat>
          <c:val>
            <c:numRef>
              <c:f>TB5_1!$C$8:$C$28</c:f>
              <c:numCache>
                <c:formatCode>##\ ###\ ##0\ ;\-\ ##\ ###\ ##0\ ;"– "</c:formatCode>
                <c:ptCount val="21"/>
                <c:pt idx="0">
                  <c:v>146742</c:v>
                </c:pt>
                <c:pt idx="1">
                  <c:v>145717</c:v>
                </c:pt>
                <c:pt idx="2">
                  <c:v>142598</c:v>
                </c:pt>
                <c:pt idx="3">
                  <c:v>140319</c:v>
                </c:pt>
                <c:pt idx="4">
                  <c:v>140983</c:v>
                </c:pt>
                <c:pt idx="5">
                  <c:v>139341</c:v>
                </c:pt>
                <c:pt idx="6">
                  <c:v>135596</c:v>
                </c:pt>
                <c:pt idx="7">
                  <c:v>131743</c:v>
                </c:pt>
                <c:pt idx="8">
                  <c:v>127904</c:v>
                </c:pt>
                <c:pt idx="9">
                  <c:v>125099</c:v>
                </c:pt>
                <c:pt idx="10">
                  <c:v>125327</c:v>
                </c:pt>
                <c:pt idx="11">
                  <c:v>128030</c:v>
                </c:pt>
                <c:pt idx="12">
                  <c:v>127238</c:v>
                </c:pt>
                <c:pt idx="13">
                  <c:v>121954</c:v>
                </c:pt>
                <c:pt idx="14">
                  <c:v>118762</c:v>
                </c:pt>
                <c:pt idx="15">
                  <c:v>121003</c:v>
                </c:pt>
                <c:pt idx="16">
                  <c:v>121500</c:v>
                </c:pt>
                <c:pt idx="17">
                  <c:v>122658</c:v>
                </c:pt>
                <c:pt idx="18">
                  <c:v>122086</c:v>
                </c:pt>
                <c:pt idx="19">
                  <c:v>123861</c:v>
                </c:pt>
                <c:pt idx="20">
                  <c:v>124018</c:v>
                </c:pt>
              </c:numCache>
            </c:numRef>
          </c:val>
        </c:ser>
        <c:dLbls>
          <c:dLblPos val="ctr"/>
          <c:showLegendKey val="0"/>
          <c:showVal val="1"/>
          <c:showCatName val="0"/>
          <c:showSerName val="0"/>
          <c:showPercent val="0"/>
          <c:showBubbleSize val="0"/>
        </c:dLbls>
        <c:gapWidth val="150"/>
        <c:axId val="124129280"/>
        <c:axId val="124130816"/>
      </c:barChart>
      <c:catAx>
        <c:axId val="124129280"/>
        <c:scaling>
          <c:orientation val="minMax"/>
        </c:scaling>
        <c:delete val="0"/>
        <c:axPos val="b"/>
        <c:numFmt formatCode="General" sourceLinked="1"/>
        <c:majorTickMark val="none"/>
        <c:minorTickMark val="none"/>
        <c:tickLblPos val="nextTo"/>
        <c:txPr>
          <a:bodyPr rot="-3600000"/>
          <a:lstStyle/>
          <a:p>
            <a:pPr>
              <a:defRPr/>
            </a:pPr>
            <a:endParaRPr lang="de-DE"/>
          </a:p>
        </c:txPr>
        <c:crossAx val="124130816"/>
        <c:crossesAt val="73000"/>
        <c:auto val="0"/>
        <c:lblAlgn val="ctr"/>
        <c:lblOffset val="100"/>
        <c:noMultiLvlLbl val="0"/>
      </c:catAx>
      <c:valAx>
        <c:axId val="124130816"/>
        <c:scaling>
          <c:orientation val="minMax"/>
          <c:max val="160000"/>
          <c:min val="11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 ;\-\ ##\ ###\ ##0\ ;&quot;– &quot;" sourceLinked="1"/>
        <c:majorTickMark val="none"/>
        <c:minorTickMark val="none"/>
        <c:tickLblPos val="nextTo"/>
        <c:crossAx val="124129280"/>
        <c:crosses val="autoZero"/>
        <c:crossBetween val="between"/>
        <c:majorUnit val="10000"/>
        <c:minorUnit val="10000"/>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TB5_1!$E$5</c:f>
              <c:strCache>
                <c:ptCount val="1"/>
                <c:pt idx="0">
                  <c:v>Umsatz</c:v>
                </c:pt>
              </c:strCache>
            </c:strRef>
          </c:tx>
          <c:invertIfNegative val="0"/>
          <c:dLbls>
            <c:delete val="1"/>
          </c:dLbls>
          <c:cat>
            <c:numRef>
              <c:f>TB5_1!$A$8:$A$28</c:f>
              <c:numCache>
                <c:formatCode>0;[Red]0</c:formatCode>
                <c:ptCount val="21"/>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pt idx="19" formatCode="General">
                  <c:v>2015</c:v>
                </c:pt>
                <c:pt idx="20" formatCode="General">
                  <c:v>2016</c:v>
                </c:pt>
              </c:numCache>
            </c:numRef>
          </c:cat>
          <c:val>
            <c:numRef>
              <c:f>TB5_1!$E$8:$E$28</c:f>
              <c:numCache>
                <c:formatCode>##\ ###\ ##0\ ;\-\ ##\ ###\ ##0\ ;"– "</c:formatCode>
                <c:ptCount val="21"/>
                <c:pt idx="0">
                  <c:v>24088396</c:v>
                </c:pt>
                <c:pt idx="1">
                  <c:v>25588482</c:v>
                </c:pt>
                <c:pt idx="2">
                  <c:v>25911875</c:v>
                </c:pt>
                <c:pt idx="3">
                  <c:v>27231996</c:v>
                </c:pt>
                <c:pt idx="4">
                  <c:v>28121089</c:v>
                </c:pt>
                <c:pt idx="5">
                  <c:v>27932719</c:v>
                </c:pt>
                <c:pt idx="6">
                  <c:v>27976228</c:v>
                </c:pt>
                <c:pt idx="7">
                  <c:v>27652647</c:v>
                </c:pt>
                <c:pt idx="8">
                  <c:v>30278000</c:v>
                </c:pt>
                <c:pt idx="9">
                  <c:v>32080721</c:v>
                </c:pt>
                <c:pt idx="10">
                  <c:v>34189922</c:v>
                </c:pt>
                <c:pt idx="11">
                  <c:v>33278221</c:v>
                </c:pt>
                <c:pt idx="12">
                  <c:v>33993013</c:v>
                </c:pt>
                <c:pt idx="13">
                  <c:v>29783049</c:v>
                </c:pt>
                <c:pt idx="14">
                  <c:v>31557474.730999999</c:v>
                </c:pt>
                <c:pt idx="15">
                  <c:v>34741088</c:v>
                </c:pt>
                <c:pt idx="16">
                  <c:v>36149532.004000001</c:v>
                </c:pt>
                <c:pt idx="17">
                  <c:v>36865319.523999996</c:v>
                </c:pt>
                <c:pt idx="18">
                  <c:v>38623232.674000002</c:v>
                </c:pt>
                <c:pt idx="19">
                  <c:v>36018872</c:v>
                </c:pt>
                <c:pt idx="20">
                  <c:v>35975244</c:v>
                </c:pt>
              </c:numCache>
            </c:numRef>
          </c:val>
        </c:ser>
        <c:dLbls>
          <c:dLblPos val="ctr"/>
          <c:showLegendKey val="0"/>
          <c:showVal val="1"/>
          <c:showCatName val="0"/>
          <c:showSerName val="0"/>
          <c:showPercent val="0"/>
          <c:showBubbleSize val="0"/>
        </c:dLbls>
        <c:gapWidth val="150"/>
        <c:axId val="124184448"/>
        <c:axId val="124185984"/>
      </c:barChart>
      <c:catAx>
        <c:axId val="124184448"/>
        <c:scaling>
          <c:orientation val="minMax"/>
        </c:scaling>
        <c:delete val="0"/>
        <c:axPos val="b"/>
        <c:numFmt formatCode="General" sourceLinked="1"/>
        <c:majorTickMark val="none"/>
        <c:minorTickMark val="none"/>
        <c:tickLblPos val="nextTo"/>
        <c:txPr>
          <a:bodyPr rot="-3600000"/>
          <a:lstStyle/>
          <a:p>
            <a:pPr>
              <a:defRPr/>
            </a:pPr>
            <a:endParaRPr lang="de-DE"/>
          </a:p>
        </c:txPr>
        <c:crossAx val="124185984"/>
        <c:crosses val="autoZero"/>
        <c:auto val="0"/>
        <c:lblAlgn val="ctr"/>
        <c:lblOffset val="100"/>
        <c:noMultiLvlLbl val="0"/>
      </c:catAx>
      <c:valAx>
        <c:axId val="124185984"/>
        <c:scaling>
          <c:orientation val="minMax"/>
          <c:max val="40000000"/>
          <c:min val="2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24184448"/>
        <c:crosses val="autoZero"/>
        <c:crossBetween val="between"/>
        <c:majorUnit val="2000000"/>
        <c:minorUnit val="2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TB5_1!$F$6</c:f>
              <c:strCache>
                <c:ptCount val="1"/>
                <c:pt idx="0">
                  <c:v>darunter
Auslandsumsatz</c:v>
                </c:pt>
              </c:strCache>
            </c:strRef>
          </c:tx>
          <c:invertIfNegative val="0"/>
          <c:dLbls>
            <c:delete val="1"/>
          </c:dLbls>
          <c:cat>
            <c:numRef>
              <c:f>TB5_1!$A$8:$A$28</c:f>
              <c:numCache>
                <c:formatCode>0;[Red]0</c:formatCode>
                <c:ptCount val="21"/>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pt idx="19" formatCode="General">
                  <c:v>2015</c:v>
                </c:pt>
                <c:pt idx="20" formatCode="General">
                  <c:v>2016</c:v>
                </c:pt>
              </c:numCache>
            </c:numRef>
          </c:cat>
          <c:val>
            <c:numRef>
              <c:f>TB5_1!$F$8:$F$28</c:f>
              <c:numCache>
                <c:formatCode>##\ ###\ ##0\ ;\-\ ##\ ###\ ##0\ ;"– "</c:formatCode>
                <c:ptCount val="21"/>
                <c:pt idx="0">
                  <c:v>6319142</c:v>
                </c:pt>
                <c:pt idx="1">
                  <c:v>7603819</c:v>
                </c:pt>
                <c:pt idx="2">
                  <c:v>7711587</c:v>
                </c:pt>
                <c:pt idx="3">
                  <c:v>8508603</c:v>
                </c:pt>
                <c:pt idx="4">
                  <c:v>8925754</c:v>
                </c:pt>
                <c:pt idx="5">
                  <c:v>8885463</c:v>
                </c:pt>
                <c:pt idx="6">
                  <c:v>9428713</c:v>
                </c:pt>
                <c:pt idx="7">
                  <c:v>9733339</c:v>
                </c:pt>
                <c:pt idx="8">
                  <c:v>11680546</c:v>
                </c:pt>
                <c:pt idx="9">
                  <c:v>13208153</c:v>
                </c:pt>
                <c:pt idx="10">
                  <c:v>13901521</c:v>
                </c:pt>
                <c:pt idx="11">
                  <c:v>13537187</c:v>
                </c:pt>
                <c:pt idx="12">
                  <c:v>13649884</c:v>
                </c:pt>
                <c:pt idx="13">
                  <c:v>12432618</c:v>
                </c:pt>
                <c:pt idx="14">
                  <c:v>12628416.402000001</c:v>
                </c:pt>
                <c:pt idx="15">
                  <c:v>13577795</c:v>
                </c:pt>
                <c:pt idx="16">
                  <c:v>14199097.02</c:v>
                </c:pt>
                <c:pt idx="17">
                  <c:v>14765099.402000001</c:v>
                </c:pt>
                <c:pt idx="18">
                  <c:v>15677925.464</c:v>
                </c:pt>
                <c:pt idx="19">
                  <c:v>13486756</c:v>
                </c:pt>
                <c:pt idx="20">
                  <c:v>14385658</c:v>
                </c:pt>
              </c:numCache>
            </c:numRef>
          </c:val>
        </c:ser>
        <c:dLbls>
          <c:dLblPos val="ctr"/>
          <c:showLegendKey val="0"/>
          <c:showVal val="1"/>
          <c:showCatName val="0"/>
          <c:showSerName val="0"/>
          <c:showPercent val="0"/>
          <c:showBubbleSize val="0"/>
        </c:dLbls>
        <c:gapWidth val="150"/>
        <c:axId val="125718912"/>
        <c:axId val="125720448"/>
      </c:barChart>
      <c:catAx>
        <c:axId val="125718912"/>
        <c:scaling>
          <c:orientation val="minMax"/>
        </c:scaling>
        <c:delete val="0"/>
        <c:axPos val="b"/>
        <c:numFmt formatCode="General" sourceLinked="1"/>
        <c:majorTickMark val="none"/>
        <c:minorTickMark val="none"/>
        <c:tickLblPos val="nextTo"/>
        <c:txPr>
          <a:bodyPr rot="-3600000"/>
          <a:lstStyle/>
          <a:p>
            <a:pPr>
              <a:defRPr/>
            </a:pPr>
            <a:endParaRPr lang="de-DE"/>
          </a:p>
        </c:txPr>
        <c:crossAx val="125720448"/>
        <c:crosses val="autoZero"/>
        <c:auto val="0"/>
        <c:lblAlgn val="ctr"/>
        <c:lblOffset val="100"/>
        <c:noMultiLvlLbl val="0"/>
      </c:catAx>
      <c:valAx>
        <c:axId val="125720448"/>
        <c:scaling>
          <c:orientation val="minMax"/>
          <c:max val="17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25718912"/>
        <c:crosses val="autoZero"/>
        <c:crossBetween val="between"/>
        <c:majorUnit val="2000000"/>
        <c:minorUnit val="2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852866115248893"/>
          <c:y val="1.9651826299236581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9"/>
              <c:layout/>
              <c:tx>
                <c:rich>
                  <a:bodyPr/>
                  <a:lstStyle/>
                  <a:p>
                    <a:r>
                      <a:rPr lang="en-US"/>
                      <a:t> 1,5</a:t>
                    </a:r>
                  </a:p>
                </c:rich>
              </c:tx>
              <c:dLblPos val="inBase"/>
              <c:showLegendKey val="0"/>
              <c:showVal val="1"/>
              <c:showCatName val="0"/>
              <c:showSerName val="0"/>
              <c:showPercent val="0"/>
              <c:showBubbleSize val="0"/>
            </c:dLbl>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29 H.v. Kraftwagen</c:v>
                </c:pt>
                <c:pt idx="1">
                  <c:v>17 H.v. Papier, Pappe</c:v>
                </c:pt>
                <c:pt idx="2">
                  <c:v>10 H.v. Nahrungsmitteln</c:v>
                </c:pt>
                <c:pt idx="3">
                  <c:v>28 H.v. Maschinen</c:v>
                </c:pt>
                <c:pt idx="4">
                  <c:v>22 H.v. Gummi/Kunststoff</c:v>
                </c:pt>
                <c:pt idx="5">
                  <c:v>25 H.v. Metallerzeugnissen</c:v>
                </c:pt>
                <c:pt idx="6">
                  <c:v>21 H.v. pharmazeut. Erzeugnissen</c:v>
                </c:pt>
                <c:pt idx="7">
                  <c:v>30 Sonstiger Fahrzeugbau</c:v>
                </c:pt>
                <c:pt idx="8">
                  <c:v>18 H.v. Druckerzeugnissen</c:v>
                </c:pt>
                <c:pt idx="9">
                  <c:v>16 H.v. Holzwaren</c:v>
                </c:pt>
                <c:pt idx="10">
                  <c:v>11 Getränkeherstellung</c:v>
                </c:pt>
                <c:pt idx="11">
                  <c:v>31  H.v. Möbeln</c:v>
                </c:pt>
                <c:pt idx="12">
                  <c:v>B + C Verarbeitendes Gewerbe</c:v>
                </c:pt>
                <c:pt idx="13">
                  <c:v>23 H.v. Glas, Glaswaren</c:v>
                </c:pt>
                <c:pt idx="14">
                  <c:v>27 H.v. Elektromotoren</c:v>
                </c:pt>
                <c:pt idx="15">
                  <c:v>20 H.v. chemischen Erzeugnissen</c:v>
                </c:pt>
                <c:pt idx="16">
                  <c:v>19 Kokerei u. Mineralölverarb.</c:v>
                </c:pt>
                <c:pt idx="17">
                  <c:v>26 H.v. elektron. Erzeugnissen</c:v>
                </c:pt>
                <c:pt idx="18">
                  <c:v>33 Reparatur von Maschinen</c:v>
                </c:pt>
                <c:pt idx="19">
                  <c:v>24 Metallerzeugung</c:v>
                </c:pt>
                <c:pt idx="20">
                  <c:v>32 H.v. sonstigen Waren</c:v>
                </c:pt>
                <c:pt idx="21">
                  <c:v>13 H.v. Textilien</c:v>
                </c:pt>
              </c:strCache>
            </c:strRef>
          </c:cat>
          <c:val>
            <c:numRef>
              <c:f>DatenBesch_1!$E$5:$E$26</c:f>
              <c:numCache>
                <c:formatCode>###\ ##0.0;\-###\ ##0.0;\-</c:formatCode>
                <c:ptCount val="22"/>
                <c:pt idx="0">
                  <c:v>-1.2358946802794151</c:v>
                </c:pt>
                <c:pt idx="1">
                  <c:v>-1.9041064464326638</c:v>
                </c:pt>
                <c:pt idx="2">
                  <c:v>4.4525800227575019E-2</c:v>
                </c:pt>
                <c:pt idx="3">
                  <c:v>-6.0816164817749723</c:v>
                </c:pt>
                <c:pt idx="4">
                  <c:v>1.4095180357684143</c:v>
                </c:pt>
                <c:pt idx="5">
                  <c:v>-2.2344966105950306</c:v>
                </c:pt>
                <c:pt idx="6">
                  <c:v>0.81743869209809361</c:v>
                </c:pt>
                <c:pt idx="7">
                  <c:v>0.9278659084106522</c:v>
                </c:pt>
                <c:pt idx="8">
                  <c:v>0.72835176692743175</c:v>
                </c:pt>
                <c:pt idx="9">
                  <c:v>-4.0567951318458455</c:v>
                </c:pt>
                <c:pt idx="10">
                  <c:v>4.4293015332197712</c:v>
                </c:pt>
                <c:pt idx="11">
                  <c:v>-5.1924798567591779</c:v>
                </c:pt>
                <c:pt idx="12">
                  <c:v>0.126754991482386</c:v>
                </c:pt>
                <c:pt idx="13">
                  <c:v>2.614379084967311</c:v>
                </c:pt>
                <c:pt idx="14">
                  <c:v>-0.48346055979642699</c:v>
                </c:pt>
                <c:pt idx="15">
                  <c:v>4.4463818657367113</c:v>
                </c:pt>
                <c:pt idx="16">
                  <c:v>-4.2889390519187316</c:v>
                </c:pt>
                <c:pt idx="17">
                  <c:v>-3.3525866398794619</c:v>
                </c:pt>
                <c:pt idx="18">
                  <c:v>25.067024128686327</c:v>
                </c:pt>
                <c:pt idx="19">
                  <c:v>-7.1428571428571388</c:v>
                </c:pt>
                <c:pt idx="20">
                  <c:v>-0.22312766783080917</c:v>
                </c:pt>
                <c:pt idx="21">
                  <c:v>7.0247933884297566</c:v>
                </c:pt>
              </c:numCache>
            </c:numRef>
          </c:val>
        </c:ser>
        <c:dLbls>
          <c:dLblPos val="inBase"/>
          <c:showLegendKey val="0"/>
          <c:showVal val="1"/>
          <c:showCatName val="0"/>
          <c:showSerName val="0"/>
          <c:showPercent val="0"/>
          <c:showBubbleSize val="0"/>
        </c:dLbls>
        <c:gapWidth val="150"/>
        <c:axId val="126830080"/>
        <c:axId val="126862080"/>
      </c:barChart>
      <c:catAx>
        <c:axId val="1268300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6862080"/>
        <c:crossesAt val="0"/>
        <c:auto val="1"/>
        <c:lblAlgn val="ctr"/>
        <c:lblOffset val="100"/>
        <c:tickLblSkip val="1"/>
        <c:tickMarkSkip val="1"/>
        <c:noMultiLvlLbl val="0"/>
      </c:catAx>
      <c:valAx>
        <c:axId val="126862080"/>
        <c:scaling>
          <c:orientation val="minMax"/>
          <c:max val="25"/>
          <c:min val="-1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6830080"/>
        <c:crosses val="autoZero"/>
        <c:crossBetween val="between"/>
        <c:majorUnit val="5"/>
        <c:minorUnit val="5"/>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2"/>
              <c:layout>
                <c:manualLayout>
                  <c:x val="-0.1507444668682294"/>
                  <c:y val="1.5459512366150171E-3"/>
                </c:manualLayout>
              </c:layout>
              <c:dLblPos val="outEnd"/>
              <c:showLegendKey val="0"/>
              <c:showVal val="1"/>
              <c:showCatName val="0"/>
              <c:showSerName val="0"/>
              <c:showPercent val="0"/>
              <c:showBubbleSize val="0"/>
            </c:dLbl>
            <c:dLbl>
              <c:idx val="4"/>
              <c:layout>
                <c:manualLayout>
                  <c:x val="-4.609101487593336E-2"/>
                  <c:y val="0"/>
                </c:manualLayout>
              </c:layout>
              <c:dLblPos val="outEnd"/>
              <c:showLegendKey val="0"/>
              <c:showVal val="1"/>
              <c:showCatName val="0"/>
              <c:showSerName val="0"/>
              <c:showPercent val="0"/>
              <c:showBubbleSize val="0"/>
            </c:dLbl>
            <c:dLbl>
              <c:idx val="7"/>
              <c:layout>
                <c:manualLayout>
                  <c:x val="-2.2024833102758708E-3"/>
                  <c:y val="0"/>
                </c:manualLayout>
              </c:layout>
              <c:dLblPos val="outEnd"/>
              <c:showLegendKey val="0"/>
              <c:showVal val="1"/>
              <c:showCatName val="0"/>
              <c:showSerName val="0"/>
              <c:showPercent val="0"/>
              <c:showBubbleSize val="0"/>
            </c:dLbl>
            <c:dLbl>
              <c:idx val="8"/>
              <c:layout>
                <c:manualLayout>
                  <c:x val="2.6103633597524449E-3"/>
                  <c:y val="0"/>
                </c:manualLayout>
              </c:layout>
              <c:dLblPos val="outEnd"/>
              <c:showLegendKey val="0"/>
              <c:showVal val="1"/>
              <c:showCatName val="0"/>
              <c:showSerName val="0"/>
              <c:showPercent val="0"/>
              <c:showBubbleSize val="0"/>
            </c:dLbl>
            <c:dLbl>
              <c:idx val="10"/>
              <c:layout>
                <c:manualLayout>
                  <c:x val="8.3349926086825361E-3"/>
                  <c:y val="5.6128959961879186E-17"/>
                </c:manualLayout>
              </c:layout>
              <c:dLblPos val="outEnd"/>
              <c:showLegendKey val="0"/>
              <c:showVal val="1"/>
              <c:showCatName val="0"/>
              <c:showSerName val="0"/>
              <c:showPercent val="0"/>
              <c:showBubbleSize val="0"/>
            </c:dLbl>
            <c:dLbl>
              <c:idx val="15"/>
              <c:layout>
                <c:manualLayout>
                  <c:x val="-2.6785057549261818E-2"/>
                  <c:y val="0"/>
                </c:manualLayout>
              </c:layout>
              <c:dLblPos val="outEnd"/>
              <c:showLegendKey val="0"/>
              <c:showVal val="1"/>
              <c:showCatName val="0"/>
              <c:showSerName val="0"/>
              <c:showPercent val="0"/>
              <c:showBubbleSize val="0"/>
            </c:dLbl>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33 Reparatur von Maschinen</c:v>
                </c:pt>
                <c:pt idx="2">
                  <c:v>32 H.v. sonstigen Waren</c:v>
                </c:pt>
                <c:pt idx="3">
                  <c:v>B + C Verarbeitendes Gewerbe</c:v>
                </c:pt>
                <c:pt idx="4">
                  <c:v>20 H.v. chemischen Erzeugnissen</c:v>
                </c:pt>
                <c:pt idx="5">
                  <c:v>27 H.v. Elektromotoren</c:v>
                </c:pt>
                <c:pt idx="6">
                  <c:v>29 H.v. Kraftwagen</c:v>
                </c:pt>
                <c:pt idx="7">
                  <c:v>10 H.v. Nahrungsmitteln</c:v>
                </c:pt>
                <c:pt idx="8">
                  <c:v>28 H.v. Maschinen</c:v>
                </c:pt>
                <c:pt idx="9">
                  <c:v>31  H.v. Möbeln</c:v>
                </c:pt>
                <c:pt idx="10">
                  <c:v>11 Getränkeherstellung</c:v>
                </c:pt>
                <c:pt idx="11">
                  <c:v>18 H.v. Druckerzeugnissen</c:v>
                </c:pt>
                <c:pt idx="12">
                  <c:v>17 H.v. Papier, Pappe</c:v>
                </c:pt>
                <c:pt idx="13">
                  <c:v>16 H.v. Holzwaren</c:v>
                </c:pt>
                <c:pt idx="14">
                  <c:v>22 H.v. Gummi/Kunststoff</c:v>
                </c:pt>
                <c:pt idx="15">
                  <c:v>25 H.v. Metallerzeugnissen</c:v>
                </c:pt>
                <c:pt idx="16">
                  <c:v>23 H.v. Glas, Glaswaren</c:v>
                </c:pt>
                <c:pt idx="17">
                  <c:v>13 H.v. Textilien</c:v>
                </c:pt>
                <c:pt idx="18">
                  <c:v>21 H.v. pharmazeut. Erzeugnissen</c:v>
                </c:pt>
                <c:pt idx="19">
                  <c:v>26 H.v. elektron. Erzeugnissen</c:v>
                </c:pt>
                <c:pt idx="20">
                  <c:v>24 Metallerzeugung</c:v>
                </c:pt>
              </c:strCache>
            </c:strRef>
          </c:cat>
          <c:val>
            <c:numRef>
              <c:f>DatenUMs_1!$E$5:$E$25</c:f>
              <c:numCache>
                <c:formatCode>###\ ##0.0;\-###\ ##0.0;\-</c:formatCode>
                <c:ptCount val="21"/>
                <c:pt idx="0">
                  <c:v>28.532603390665713</c:v>
                </c:pt>
                <c:pt idx="1">
                  <c:v>13.53484471259911</c:v>
                </c:pt>
                <c:pt idx="2">
                  <c:v>30.139261156119289</c:v>
                </c:pt>
                <c:pt idx="3">
                  <c:v>-0.12112509704155627</c:v>
                </c:pt>
                <c:pt idx="4">
                  <c:v>-3.7776426072830702</c:v>
                </c:pt>
                <c:pt idx="5">
                  <c:v>2.216339095293506</c:v>
                </c:pt>
                <c:pt idx="6">
                  <c:v>7.2222814250224872</c:v>
                </c:pt>
                <c:pt idx="7">
                  <c:v>-3.6579581945433688</c:v>
                </c:pt>
                <c:pt idx="8">
                  <c:v>-9.5844982417403912</c:v>
                </c:pt>
                <c:pt idx="9">
                  <c:v>-5.6687715835258956</c:v>
                </c:pt>
                <c:pt idx="10">
                  <c:v>-11.227087723401993</c:v>
                </c:pt>
                <c:pt idx="11">
                  <c:v>-2.9133331897234598</c:v>
                </c:pt>
                <c:pt idx="12">
                  <c:v>-4.0097279598695081</c:v>
                </c:pt>
                <c:pt idx="13">
                  <c:v>-2.0065631176371426</c:v>
                </c:pt>
                <c:pt idx="14">
                  <c:v>4.0225725135895516</c:v>
                </c:pt>
                <c:pt idx="15">
                  <c:v>-3.1785950554881595</c:v>
                </c:pt>
                <c:pt idx="16">
                  <c:v>8.1011769327577809</c:v>
                </c:pt>
                <c:pt idx="17">
                  <c:v>4.6158522591485109</c:v>
                </c:pt>
                <c:pt idx="18">
                  <c:v>3.1475386522898674</c:v>
                </c:pt>
                <c:pt idx="19">
                  <c:v>1.1510214991472765</c:v>
                </c:pt>
                <c:pt idx="20">
                  <c:v>-6.7745314397876513</c:v>
                </c:pt>
              </c:numCache>
            </c:numRef>
          </c:val>
        </c:ser>
        <c:dLbls>
          <c:dLblPos val="inBase"/>
          <c:showLegendKey val="0"/>
          <c:showVal val="1"/>
          <c:showCatName val="0"/>
          <c:showSerName val="0"/>
          <c:showPercent val="0"/>
          <c:showBubbleSize val="0"/>
        </c:dLbls>
        <c:gapWidth val="150"/>
        <c:axId val="68023808"/>
        <c:axId val="68293376"/>
      </c:barChart>
      <c:catAx>
        <c:axId val="680238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8293376"/>
        <c:crossesAt val="0"/>
        <c:auto val="1"/>
        <c:lblAlgn val="ctr"/>
        <c:lblOffset val="100"/>
        <c:tickLblSkip val="1"/>
        <c:tickMarkSkip val="1"/>
        <c:noMultiLvlLbl val="0"/>
      </c:catAx>
      <c:valAx>
        <c:axId val="68293376"/>
        <c:scaling>
          <c:orientation val="minMax"/>
          <c:max val="30"/>
          <c:min val="-4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802380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152400</xdr:rowOff>
    </xdr:from>
    <xdr:to>
      <xdr:col>7</xdr:col>
      <xdr:colOff>5666</xdr:colOff>
      <xdr:row>52</xdr:row>
      <xdr:rowOff>147711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052603"/>
          <a:ext cx="6435969" cy="2745545"/>
        </a:xfrm>
        <a:prstGeom prst="rect">
          <a:avLst/>
        </a:prstGeom>
      </xdr:spPr>
    </xdr:pic>
    <xdr:clientData/>
  </xdr:twoCellAnchor>
  <xdr:twoCellAnchor editAs="oneCell">
    <xdr:from>
      <xdr:col>5</xdr:col>
      <xdr:colOff>619125</xdr:colOff>
      <xdr:row>0</xdr:row>
      <xdr:rowOff>59751</xdr:rowOff>
    </xdr:from>
    <xdr:to>
      <xdr:col>6</xdr:col>
      <xdr:colOff>867587</xdr:colOff>
      <xdr:row>4</xdr:row>
      <xdr:rowOff>47625</xdr:rowOff>
    </xdr:to>
    <xdr:pic>
      <xdr:nvPicPr>
        <xdr:cNvPr id="6" name="Grafik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38750" y="59751"/>
          <a:ext cx="1172387"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47623</xdr:rowOff>
    </xdr:from>
    <xdr:to>
      <xdr:col>2</xdr:col>
      <xdr:colOff>14655</xdr:colOff>
      <xdr:row>48</xdr:row>
      <xdr:rowOff>152400</xdr:rowOff>
    </xdr:to>
    <xdr:sp macro="" textlink="">
      <xdr:nvSpPr>
        <xdr:cNvPr id="2" name="Textfeld 1"/>
        <xdr:cNvSpPr txBox="1"/>
      </xdr:nvSpPr>
      <xdr:spPr>
        <a:xfrm>
          <a:off x="19050" y="47623"/>
          <a:ext cx="5939205" cy="9839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WZ 2008 wird die Verordnung (EG) Nr. 1893/2006  des Europäischen Parlaments und des Rates vom </a:t>
          </a:r>
        </a:p>
        <a:p>
          <a:r>
            <a:rPr lang="de-DE" sz="900">
              <a:latin typeface="Arial" panose="020B0604020202020204" pitchFamily="34" charset="0"/>
              <a:cs typeface="Arial" panose="020B0604020202020204" pitchFamily="34" charset="0"/>
            </a:rPr>
            <a:t>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 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    mehr 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a:t>
          </a:r>
        </a:p>
        <a:p>
          <a:r>
            <a:rPr lang="de-DE" sz="900" b="0">
              <a:latin typeface="Arial" panose="020B0604020202020204" pitchFamily="34" charset="0"/>
              <a:cs typeface="Arial" panose="020B0604020202020204" pitchFamily="34" charset="0"/>
            </a:rPr>
            <a:t>    von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a:t>
          </a:r>
        </a:p>
        <a:p>
          <a:r>
            <a:rPr lang="de-DE" sz="900" b="0" i="0" u="none" strike="noStrike">
              <a:solidFill>
                <a:schemeClr val="dk1"/>
              </a:solidFill>
              <a:effectLst/>
              <a:latin typeface="Arial" panose="020B0604020202020204" pitchFamily="34" charset="0"/>
              <a:ea typeface="+mn-ea"/>
              <a:cs typeface="Arial" panose="020B0604020202020204" pitchFamily="34" charset="0"/>
            </a:rPr>
            <a:t>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28575</xdr:colOff>
      <xdr:row>50</xdr:row>
      <xdr:rowOff>133349</xdr:rowOff>
    </xdr:from>
    <xdr:to>
      <xdr:col>2</xdr:col>
      <xdr:colOff>587</xdr:colOff>
      <xdr:row>97</xdr:row>
      <xdr:rowOff>47625</xdr:rowOff>
    </xdr:to>
    <xdr:sp macro="" textlink="">
      <xdr:nvSpPr>
        <xdr:cNvPr id="3" name="Textfeld 2"/>
        <xdr:cNvSpPr txBox="1"/>
      </xdr:nvSpPr>
      <xdr:spPr>
        <a:xfrm>
          <a:off x="28575" y="10191749"/>
          <a:ext cx="5915612" cy="7524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47624</xdr:colOff>
      <xdr:row>4</xdr:row>
      <xdr:rowOff>66675</xdr:rowOff>
    </xdr:from>
    <xdr:to>
      <xdr:col>0</xdr:col>
      <xdr:colOff>5819775</xdr:colOff>
      <xdr:row>56</xdr:row>
      <xdr:rowOff>85725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heetViews>
  <sheetFormatPr baseColWidth="10" defaultColWidth="11.28515625" defaultRowHeight="12.75"/>
  <cols>
    <col min="1" max="7" width="13.140625" style="5" customWidth="1"/>
    <col min="8" max="8" width="10.7109375" style="5" customWidth="1"/>
    <col min="9" max="26" width="1.7109375" style="5" customWidth="1"/>
    <col min="27" max="74" width="12.140625" style="5" customWidth="1"/>
    <col min="75" max="16384" width="11.28515625" style="5"/>
  </cols>
  <sheetData>
    <row r="1" spans="1:7" ht="12.75" customHeight="1"/>
    <row r="2" spans="1:7" ht="12.75" customHeight="1"/>
    <row r="3" spans="1:7" ht="20.25" customHeight="1">
      <c r="A3" s="259" t="s">
        <v>9</v>
      </c>
      <c r="B3" s="259"/>
      <c r="C3" s="259"/>
      <c r="D3" s="259"/>
    </row>
    <row r="4" spans="1:7" ht="20.25">
      <c r="A4" s="259" t="s">
        <v>10</v>
      </c>
      <c r="B4" s="259"/>
      <c r="C4" s="259"/>
      <c r="D4" s="259"/>
    </row>
    <row r="5" spans="1:7" ht="12.75" customHeight="1"/>
    <row r="6" spans="1:7" ht="12.75" customHeight="1"/>
    <row r="7" spans="1:7" ht="12.75" customHeight="1"/>
    <row r="8" spans="1:7" ht="12.75" customHeight="1"/>
    <row r="11" spans="1:7" ht="15">
      <c r="A11" s="6"/>
      <c r="F11" s="7"/>
      <c r="G11" s="8"/>
    </row>
    <row r="13" spans="1:7">
      <c r="A13" s="9"/>
    </row>
    <row r="15" spans="1:7" ht="23.25">
      <c r="D15" s="260" t="s">
        <v>78</v>
      </c>
      <c r="E15" s="260"/>
      <c r="F15" s="260"/>
      <c r="G15" s="260"/>
    </row>
    <row r="16" spans="1:7" ht="15">
      <c r="D16" s="261" t="s">
        <v>447</v>
      </c>
      <c r="E16" s="261"/>
      <c r="F16" s="261"/>
      <c r="G16" s="261"/>
    </row>
    <row r="18" spans="1:7" ht="33">
      <c r="A18" s="262" t="s">
        <v>77</v>
      </c>
      <c r="B18" s="262"/>
      <c r="C18" s="262"/>
      <c r="D18" s="262"/>
      <c r="E18" s="262"/>
      <c r="F18" s="262"/>
      <c r="G18" s="262"/>
    </row>
    <row r="19" spans="1:7" ht="33">
      <c r="A19" s="263" t="s">
        <v>79</v>
      </c>
      <c r="B19" s="263"/>
      <c r="C19" s="263"/>
      <c r="D19" s="263"/>
      <c r="E19" s="263"/>
      <c r="F19" s="263"/>
      <c r="G19" s="263"/>
    </row>
    <row r="20" spans="1:7" ht="33">
      <c r="A20" s="262" t="s">
        <v>448</v>
      </c>
      <c r="B20" s="262"/>
      <c r="C20" s="262"/>
      <c r="D20" s="262"/>
      <c r="E20" s="262"/>
      <c r="F20" s="262"/>
      <c r="G20" s="262"/>
    </row>
    <row r="21" spans="1:7" ht="15">
      <c r="A21" s="264" t="s">
        <v>443</v>
      </c>
      <c r="B21" s="264"/>
      <c r="C21" s="264"/>
      <c r="D21" s="264"/>
      <c r="E21" s="264"/>
      <c r="F21" s="264"/>
      <c r="G21" s="264"/>
    </row>
    <row r="22" spans="1:7" ht="16.5">
      <c r="B22" s="10"/>
      <c r="C22" s="10"/>
      <c r="D22" s="10"/>
      <c r="E22" s="10"/>
      <c r="F22" s="10"/>
      <c r="G22" s="10"/>
    </row>
    <row r="23" spans="1:7" ht="16.5">
      <c r="A23" s="10"/>
      <c r="D23" s="258" t="s">
        <v>475</v>
      </c>
      <c r="E23" s="258"/>
      <c r="F23" s="258"/>
      <c r="G23" s="258"/>
    </row>
  </sheetData>
  <mergeCells count="9">
    <mergeCell ref="D23:G23"/>
    <mergeCell ref="A3:D3"/>
    <mergeCell ref="A4:D4"/>
    <mergeCell ref="D15:G15"/>
    <mergeCell ref="D16:G16"/>
    <mergeCell ref="A18:G18"/>
    <mergeCell ref="A19:G19"/>
    <mergeCell ref="A20:G20"/>
    <mergeCell ref="A21:G21"/>
  </mergeCells>
  <pageMargins left="0.59055118110236227" right="0.59055118110236227" top="0.59055118110236227" bottom="0.59055118110236227" header="0" footer="0.39370078740157483"/>
  <pageSetup paperSize="9" orientation="portrait" r:id="rId1"/>
  <headerFooter differentFirst="1">
    <oddFooter>&amp;L&amp;"Arial, Standard"&amp;8Statistikamt Nord&amp;C&amp;"Arial, Standard"&amp;8&amp;P&amp;R&amp;8Statistischer Bericht E I 1 -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L33"/>
  <sheetViews>
    <sheetView zoomScaleNormal="100" workbookViewId="0">
      <selection activeCell="A2" sqref="A2:F2"/>
    </sheetView>
  </sheetViews>
  <sheetFormatPr baseColWidth="10" defaultColWidth="11.28515625" defaultRowHeight="12.75"/>
  <cols>
    <col min="1" max="1" width="14.7109375" style="3" customWidth="1"/>
    <col min="2" max="6" width="15.42578125" style="3" customWidth="1"/>
    <col min="7" max="7" width="11.28515625" style="3"/>
    <col min="8" max="11" width="1.7109375" style="3" customWidth="1"/>
    <col min="12" max="12" width="8.7109375" style="3" hidden="1" customWidth="1"/>
    <col min="13" max="26" width="1.7109375" style="3" customWidth="1"/>
    <col min="27" max="16384" width="11.28515625" style="3"/>
  </cols>
  <sheetData>
    <row r="1" spans="1:12">
      <c r="A1" s="304" t="s">
        <v>295</v>
      </c>
      <c r="B1" s="304"/>
      <c r="C1" s="304"/>
      <c r="D1" s="304"/>
      <c r="E1" s="304"/>
      <c r="F1" s="304"/>
    </row>
    <row r="2" spans="1:12" ht="13.15" customHeight="1">
      <c r="A2" s="305" t="s">
        <v>472</v>
      </c>
      <c r="B2" s="305"/>
      <c r="C2" s="305"/>
      <c r="D2" s="305"/>
      <c r="E2" s="305"/>
      <c r="F2" s="305"/>
    </row>
    <row r="3" spans="1:12">
      <c r="A3" s="305" t="s">
        <v>296</v>
      </c>
      <c r="B3" s="305"/>
      <c r="C3" s="305"/>
      <c r="D3" s="305"/>
      <c r="E3" s="305"/>
      <c r="F3" s="305"/>
    </row>
    <row r="4" spans="1:12">
      <c r="A4" s="306"/>
      <c r="B4" s="306"/>
      <c r="C4" s="306"/>
      <c r="D4" s="306"/>
      <c r="E4" s="306"/>
    </row>
    <row r="5" spans="1:12" ht="18.600000000000001" customHeight="1">
      <c r="A5" s="307" t="s">
        <v>7</v>
      </c>
      <c r="B5" s="308" t="s">
        <v>12</v>
      </c>
      <c r="C5" s="308" t="s">
        <v>100</v>
      </c>
      <c r="D5" s="308" t="s">
        <v>1</v>
      </c>
      <c r="E5" s="309" t="s">
        <v>13</v>
      </c>
      <c r="F5" s="310"/>
      <c r="G5" s="4"/>
    </row>
    <row r="6" spans="1:12" ht="28.35" customHeight="1">
      <c r="A6" s="307"/>
      <c r="B6" s="308"/>
      <c r="C6" s="308"/>
      <c r="D6" s="308"/>
      <c r="E6" s="178" t="s">
        <v>104</v>
      </c>
      <c r="F6" s="96" t="s">
        <v>297</v>
      </c>
      <c r="G6" s="4"/>
    </row>
    <row r="7" spans="1:12" ht="18.600000000000001" customHeight="1">
      <c r="A7" s="307"/>
      <c r="B7" s="311" t="s">
        <v>298</v>
      </c>
      <c r="C7" s="311"/>
      <c r="D7" s="309" t="s">
        <v>2</v>
      </c>
      <c r="E7" s="309"/>
      <c r="F7" s="177" t="s">
        <v>2</v>
      </c>
      <c r="G7" s="4"/>
    </row>
    <row r="8" spans="1:12" ht="13.5">
      <c r="A8" s="98">
        <v>1996</v>
      </c>
      <c r="B8" s="235">
        <v>1455</v>
      </c>
      <c r="C8" s="235">
        <v>146742</v>
      </c>
      <c r="D8" s="235">
        <v>4657147</v>
      </c>
      <c r="E8" s="235">
        <v>24088396</v>
      </c>
      <c r="F8" s="235">
        <v>6319142</v>
      </c>
      <c r="L8" s="3">
        <v>1995</v>
      </c>
    </row>
    <row r="9" spans="1:12" ht="13.5">
      <c r="A9" s="101">
        <v>1997</v>
      </c>
      <c r="B9" s="242">
        <v>1529</v>
      </c>
      <c r="C9" s="242">
        <v>145717</v>
      </c>
      <c r="D9" s="235">
        <v>4652301</v>
      </c>
      <c r="E9" s="235">
        <v>25588482</v>
      </c>
      <c r="F9" s="235">
        <v>7603819</v>
      </c>
      <c r="L9" s="3">
        <v>1996</v>
      </c>
    </row>
    <row r="10" spans="1:12" ht="13.5">
      <c r="A10" s="98">
        <v>1998</v>
      </c>
      <c r="B10" s="235">
        <v>1483</v>
      </c>
      <c r="C10" s="235">
        <v>142598</v>
      </c>
      <c r="D10" s="235">
        <v>4576651</v>
      </c>
      <c r="E10" s="235">
        <v>25911875</v>
      </c>
      <c r="F10" s="235">
        <v>7711587</v>
      </c>
      <c r="L10" s="3">
        <v>1997</v>
      </c>
    </row>
    <row r="11" spans="1:12" ht="13.5">
      <c r="A11" s="101">
        <v>1999</v>
      </c>
      <c r="B11" s="242">
        <v>1483</v>
      </c>
      <c r="C11" s="242">
        <v>140319</v>
      </c>
      <c r="D11" s="235">
        <v>4600826</v>
      </c>
      <c r="E11" s="235">
        <v>27231996</v>
      </c>
      <c r="F11" s="235">
        <v>8508603</v>
      </c>
      <c r="L11" s="3">
        <v>1998</v>
      </c>
    </row>
    <row r="12" spans="1:12" ht="13.5">
      <c r="A12" s="98">
        <v>2000</v>
      </c>
      <c r="B12" s="235">
        <v>1494</v>
      </c>
      <c r="C12" s="235">
        <v>140983</v>
      </c>
      <c r="D12" s="235">
        <v>4738719</v>
      </c>
      <c r="E12" s="235">
        <v>28121089</v>
      </c>
      <c r="F12" s="235">
        <v>8925754</v>
      </c>
      <c r="L12" s="3">
        <v>1999</v>
      </c>
    </row>
    <row r="13" spans="1:12" ht="18.600000000000001" customHeight="1">
      <c r="A13" s="101">
        <v>2001</v>
      </c>
      <c r="B13" s="242">
        <v>1479</v>
      </c>
      <c r="C13" s="242">
        <v>139341</v>
      </c>
      <c r="D13" s="235">
        <v>4784558</v>
      </c>
      <c r="E13" s="235">
        <v>27932719</v>
      </c>
      <c r="F13" s="235">
        <v>8885463</v>
      </c>
      <c r="L13" s="3">
        <v>2000</v>
      </c>
    </row>
    <row r="14" spans="1:12" ht="13.5">
      <c r="A14" s="98">
        <v>2002</v>
      </c>
      <c r="B14" s="235">
        <v>1460</v>
      </c>
      <c r="C14" s="235">
        <v>135596</v>
      </c>
      <c r="D14" s="235">
        <v>4740315</v>
      </c>
      <c r="E14" s="235">
        <v>27976228</v>
      </c>
      <c r="F14" s="235">
        <v>9428713</v>
      </c>
      <c r="L14" s="3">
        <v>2001</v>
      </c>
    </row>
    <row r="15" spans="1:12" ht="13.5">
      <c r="A15" s="101">
        <v>2003</v>
      </c>
      <c r="B15" s="242">
        <v>1414</v>
      </c>
      <c r="C15" s="242">
        <v>131743</v>
      </c>
      <c r="D15" s="235">
        <v>4749279</v>
      </c>
      <c r="E15" s="235">
        <v>27652647</v>
      </c>
      <c r="F15" s="235">
        <v>9733339</v>
      </c>
      <c r="L15" s="3">
        <v>2002</v>
      </c>
    </row>
    <row r="16" spans="1:12" ht="13.5">
      <c r="A16" s="98">
        <v>2004</v>
      </c>
      <c r="B16" s="235">
        <v>1380</v>
      </c>
      <c r="C16" s="235">
        <v>127904</v>
      </c>
      <c r="D16" s="235">
        <v>4672920</v>
      </c>
      <c r="E16" s="235">
        <v>30278000</v>
      </c>
      <c r="F16" s="235">
        <v>11680546</v>
      </c>
      <c r="L16" s="3">
        <v>2003</v>
      </c>
    </row>
    <row r="17" spans="1:12" ht="13.5">
      <c r="A17" s="101">
        <v>2005</v>
      </c>
      <c r="B17" s="242">
        <v>1321</v>
      </c>
      <c r="C17" s="242">
        <v>125099</v>
      </c>
      <c r="D17" s="235">
        <v>4575897</v>
      </c>
      <c r="E17" s="235">
        <v>32080721</v>
      </c>
      <c r="F17" s="235">
        <v>13208153</v>
      </c>
      <c r="L17" s="3">
        <v>2004</v>
      </c>
    </row>
    <row r="18" spans="1:12" ht="18.600000000000001" customHeight="1">
      <c r="A18" s="100">
        <v>2006</v>
      </c>
      <c r="B18" s="235">
        <v>1308</v>
      </c>
      <c r="C18" s="235">
        <v>125327</v>
      </c>
      <c r="D18" s="235">
        <v>4657095</v>
      </c>
      <c r="E18" s="235">
        <v>34189922</v>
      </c>
      <c r="F18" s="235">
        <v>13901521</v>
      </c>
      <c r="L18" s="3">
        <v>2005</v>
      </c>
    </row>
    <row r="19" spans="1:12" ht="13.5">
      <c r="A19" s="101">
        <v>2007</v>
      </c>
      <c r="B19" s="242">
        <v>1282</v>
      </c>
      <c r="C19" s="242">
        <v>128030</v>
      </c>
      <c r="D19" s="235">
        <v>4791742</v>
      </c>
      <c r="E19" s="235">
        <v>33278221</v>
      </c>
      <c r="F19" s="235">
        <v>13537187</v>
      </c>
      <c r="L19" s="3">
        <v>2006</v>
      </c>
    </row>
    <row r="20" spans="1:12" ht="13.5">
      <c r="A20" s="100">
        <v>2008</v>
      </c>
      <c r="B20" s="235">
        <v>1275</v>
      </c>
      <c r="C20" s="235">
        <v>127238</v>
      </c>
      <c r="D20" s="235">
        <v>4843461</v>
      </c>
      <c r="E20" s="235">
        <v>33993013</v>
      </c>
      <c r="F20" s="235">
        <v>13649884</v>
      </c>
      <c r="L20" s="3">
        <v>2007</v>
      </c>
    </row>
    <row r="21" spans="1:12" ht="13.5">
      <c r="A21" s="101">
        <v>2009</v>
      </c>
      <c r="B21" s="242">
        <v>1261</v>
      </c>
      <c r="C21" s="242">
        <v>121954</v>
      </c>
      <c r="D21" s="235">
        <v>4697634</v>
      </c>
      <c r="E21" s="235">
        <v>29783049</v>
      </c>
      <c r="F21" s="235">
        <v>12432618</v>
      </c>
      <c r="L21" s="3">
        <v>2008</v>
      </c>
    </row>
    <row r="22" spans="1:12" ht="15.75" customHeight="1">
      <c r="A22" s="100">
        <v>2010</v>
      </c>
      <c r="B22" s="235">
        <v>1243</v>
      </c>
      <c r="C22" s="235">
        <v>118762</v>
      </c>
      <c r="D22" s="235">
        <v>4599807.2089999998</v>
      </c>
      <c r="E22" s="235">
        <v>31557474.730999999</v>
      </c>
      <c r="F22" s="235">
        <v>12628416.402000001</v>
      </c>
      <c r="G22" s="39"/>
      <c r="L22" s="3">
        <v>2009</v>
      </c>
    </row>
    <row r="23" spans="1:12" ht="18.600000000000001" customHeight="1">
      <c r="A23" s="101">
        <v>2011</v>
      </c>
      <c r="B23" s="235">
        <v>1249</v>
      </c>
      <c r="C23" s="235">
        <v>121003</v>
      </c>
      <c r="D23" s="235">
        <v>4821045</v>
      </c>
      <c r="E23" s="235">
        <v>34741088</v>
      </c>
      <c r="F23" s="235">
        <v>13577795</v>
      </c>
      <c r="G23" s="39"/>
      <c r="L23" s="3">
        <v>2010</v>
      </c>
    </row>
    <row r="24" spans="1:12" ht="13.5">
      <c r="A24" s="130">
        <v>2012</v>
      </c>
      <c r="B24" s="235">
        <v>1230</v>
      </c>
      <c r="C24" s="235">
        <v>121500</v>
      </c>
      <c r="D24" s="235">
        <v>4953573.5779999997</v>
      </c>
      <c r="E24" s="235">
        <v>36149532.004000001</v>
      </c>
      <c r="F24" s="235">
        <v>14199097.02</v>
      </c>
      <c r="G24" s="39"/>
      <c r="L24" s="3">
        <v>2011</v>
      </c>
    </row>
    <row r="25" spans="1:12" ht="13.5">
      <c r="A25" s="130">
        <v>2013</v>
      </c>
      <c r="B25" s="234">
        <v>1227</v>
      </c>
      <c r="C25" s="235">
        <v>122658</v>
      </c>
      <c r="D25" s="235">
        <v>5140866.8470000001</v>
      </c>
      <c r="E25" s="235">
        <v>36865319.523999996</v>
      </c>
      <c r="F25" s="235">
        <v>14765099.402000001</v>
      </c>
      <c r="G25" s="39"/>
      <c r="L25" s="3">
        <v>2012</v>
      </c>
    </row>
    <row r="26" spans="1:12" ht="13.5">
      <c r="A26" s="130">
        <v>2014</v>
      </c>
      <c r="B26" s="234">
        <v>1213</v>
      </c>
      <c r="C26" s="235">
        <v>122086</v>
      </c>
      <c r="D26" s="235">
        <v>5278259.8890000004</v>
      </c>
      <c r="E26" s="235">
        <v>38623232.674000002</v>
      </c>
      <c r="F26" s="235">
        <v>15677925.464</v>
      </c>
      <c r="G26" s="39"/>
    </row>
    <row r="27" spans="1:12" ht="13.5">
      <c r="A27" s="130">
        <v>2015</v>
      </c>
      <c r="B27" s="234">
        <v>1211</v>
      </c>
      <c r="C27" s="235">
        <v>123861</v>
      </c>
      <c r="D27" s="235">
        <v>5422903</v>
      </c>
      <c r="E27" s="235">
        <v>36018872</v>
      </c>
      <c r="F27" s="235">
        <v>13486756</v>
      </c>
      <c r="G27" s="39"/>
      <c r="L27" s="3">
        <v>2013</v>
      </c>
    </row>
    <row r="28" spans="1:12" ht="18.75" customHeight="1">
      <c r="A28" s="130">
        <v>2016</v>
      </c>
      <c r="B28" s="235">
        <v>1209</v>
      </c>
      <c r="C28" s="235">
        <v>124018</v>
      </c>
      <c r="D28" s="235">
        <v>5679681</v>
      </c>
      <c r="E28" s="235">
        <v>35975244</v>
      </c>
      <c r="F28" s="235">
        <v>14385658</v>
      </c>
      <c r="G28" s="39"/>
    </row>
    <row r="29" spans="1:12">
      <c r="A29" s="40"/>
      <c r="B29" s="41"/>
      <c r="C29" s="41"/>
      <c r="D29" s="41"/>
      <c r="E29" s="41"/>
      <c r="F29" s="41"/>
      <c r="G29" s="39"/>
    </row>
    <row r="30" spans="1:12" ht="13.5">
      <c r="A30" s="303" t="s">
        <v>301</v>
      </c>
      <c r="B30" s="303"/>
      <c r="C30" s="303"/>
      <c r="D30" s="303"/>
      <c r="E30" s="303"/>
      <c r="F30" s="303"/>
    </row>
    <row r="31" spans="1:12" ht="13.5">
      <c r="A31" s="303" t="s">
        <v>302</v>
      </c>
      <c r="B31" s="303"/>
      <c r="C31" s="303"/>
      <c r="D31" s="303"/>
      <c r="E31" s="303"/>
      <c r="F31" s="303"/>
    </row>
    <row r="32" spans="1:12" ht="13.5">
      <c r="A32" s="303" t="s">
        <v>303</v>
      </c>
      <c r="B32" s="303"/>
      <c r="C32" s="303"/>
      <c r="D32" s="303"/>
      <c r="E32" s="303"/>
      <c r="F32" s="303"/>
    </row>
    <row r="33" spans="1:6">
      <c r="A33" s="94"/>
      <c r="B33" s="94"/>
      <c r="C33" s="94"/>
      <c r="D33" s="94"/>
      <c r="E33" s="94"/>
      <c r="F33" s="94"/>
    </row>
  </sheetData>
  <mergeCells count="14">
    <mergeCell ref="D7:E7"/>
    <mergeCell ref="A30:F30"/>
    <mergeCell ref="A31:F31"/>
    <mergeCell ref="A32:F32"/>
    <mergeCell ref="A1:F1"/>
    <mergeCell ref="A2:F2"/>
    <mergeCell ref="A3:F3"/>
    <mergeCell ref="A4:E4"/>
    <mergeCell ref="A5:A7"/>
    <mergeCell ref="B5:B6"/>
    <mergeCell ref="C5:C6"/>
    <mergeCell ref="D5:D6"/>
    <mergeCell ref="E5:F5"/>
    <mergeCell ref="B7:C7"/>
  </mergeCells>
  <conditionalFormatting sqref="B9:F25 A8:A25 A27:F28">
    <cfRule type="expression" dxfId="2" priority="7">
      <formula>MOD(ROW(),2)=1</formula>
    </cfRule>
  </conditionalFormatting>
  <conditionalFormatting sqref="B8:F8">
    <cfRule type="expression" dxfId="1" priority="3">
      <formula>MOD(ROW(),2)=1</formula>
    </cfRule>
  </conditionalFormatting>
  <conditionalFormatting sqref="A26:F26">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zoomScaleNormal="100" workbookViewId="0"/>
  </sheetViews>
  <sheetFormatPr baseColWidth="10" defaultColWidth="11.42578125" defaultRowHeight="11.25"/>
  <cols>
    <col min="1" max="1" width="88.140625" style="182" customWidth="1"/>
    <col min="2" max="2" width="1.7109375" style="182" customWidth="1"/>
    <col min="3" max="3" width="11.42578125" style="182"/>
    <col min="4" max="26" width="1.7109375" style="182" customWidth="1"/>
    <col min="27" max="16384" width="11.42578125" style="182"/>
  </cols>
  <sheetData>
    <row r="1" spans="1:1" ht="11.25" customHeight="1">
      <c r="A1" s="184"/>
    </row>
    <row r="2" spans="1:1" ht="38.25" customHeight="1">
      <c r="A2" s="185" t="s">
        <v>461</v>
      </c>
    </row>
    <row r="3" spans="1:1" ht="11.25" customHeight="1">
      <c r="A3" s="186" t="s">
        <v>296</v>
      </c>
    </row>
    <row r="4" spans="1:1" ht="11.25" customHeight="1">
      <c r="A4" s="184"/>
    </row>
    <row r="5" spans="1:1" ht="11.25" customHeight="1">
      <c r="A5" s="184"/>
    </row>
    <row r="6" spans="1:1" ht="11.25" customHeight="1">
      <c r="A6" s="184"/>
    </row>
    <row r="7" spans="1:1" ht="11.25" customHeight="1">
      <c r="A7" s="184"/>
    </row>
    <row r="8" spans="1:1" ht="11.25" customHeight="1">
      <c r="A8" s="184"/>
    </row>
    <row r="9" spans="1:1" ht="11.25" customHeight="1">
      <c r="A9" s="184"/>
    </row>
    <row r="10" spans="1:1" ht="11.25" customHeight="1">
      <c r="A10" s="184"/>
    </row>
    <row r="11" spans="1:1" ht="11.25" customHeight="1">
      <c r="A11" s="184"/>
    </row>
    <row r="12" spans="1:1" ht="11.25" customHeight="1">
      <c r="A12" s="184"/>
    </row>
    <row r="13" spans="1:1" ht="11.25" customHeight="1">
      <c r="A13" s="184"/>
    </row>
    <row r="14" spans="1:1" ht="11.25" customHeight="1">
      <c r="A14" s="184"/>
    </row>
    <row r="15" spans="1:1" ht="11.25" customHeight="1">
      <c r="A15" s="184"/>
    </row>
    <row r="16" spans="1:1" ht="11.25" customHeight="1">
      <c r="A16" s="184"/>
    </row>
    <row r="17" spans="1:1" s="183" customFormat="1" ht="11.25" customHeight="1">
      <c r="A17" s="184"/>
    </row>
    <row r="18" spans="1:1" s="183" customFormat="1" ht="11.25" customHeight="1">
      <c r="A18" s="184"/>
    </row>
    <row r="19" spans="1:1" s="183" customFormat="1" ht="11.25" customHeight="1">
      <c r="A19" s="184"/>
    </row>
    <row r="20" spans="1:1" s="183" customFormat="1" ht="11.25" customHeight="1">
      <c r="A20" s="184"/>
    </row>
    <row r="21" spans="1:1" s="183" customFormat="1" ht="11.25" customHeight="1">
      <c r="A21" s="184"/>
    </row>
    <row r="22" spans="1:1" s="183" customFormat="1" ht="11.25" customHeight="1">
      <c r="A22" s="184"/>
    </row>
    <row r="23" spans="1:1" s="183" customFormat="1" ht="11.25" customHeight="1">
      <c r="A23" s="184"/>
    </row>
    <row r="24" spans="1:1" s="183" customFormat="1" ht="11.25" customHeight="1">
      <c r="A24" s="184"/>
    </row>
    <row r="25" spans="1:1" s="183" customFormat="1" ht="11.25" customHeight="1">
      <c r="A25" s="184"/>
    </row>
    <row r="26" spans="1:1" s="183" customFormat="1" ht="11.25" customHeight="1">
      <c r="A26" s="184"/>
    </row>
    <row r="27" spans="1:1" s="183" customFormat="1" ht="11.25" customHeight="1">
      <c r="A27" s="184"/>
    </row>
    <row r="28" spans="1:1" s="183" customFormat="1" ht="11.25" customHeight="1">
      <c r="A28" s="184"/>
    </row>
    <row r="29" spans="1:1" s="183" customFormat="1" ht="11.25" customHeight="1">
      <c r="A29" s="184"/>
    </row>
    <row r="30" spans="1:1" s="183" customFormat="1" ht="11.25" customHeight="1">
      <c r="A30" s="184"/>
    </row>
    <row r="31" spans="1:1" s="183" customFormat="1" ht="11.25" customHeight="1">
      <c r="A31" s="184"/>
    </row>
    <row r="32" spans="1:1" s="183" customFormat="1" ht="11.25" customHeight="1">
      <c r="A32" s="184"/>
    </row>
    <row r="33" spans="1:1" s="183" customFormat="1" ht="11.25" customHeight="1">
      <c r="A33" s="184"/>
    </row>
    <row r="34" spans="1:1" s="183" customFormat="1" ht="11.25" customHeight="1">
      <c r="A34" s="184"/>
    </row>
    <row r="35" spans="1:1" s="183" customFormat="1" ht="11.25" customHeight="1">
      <c r="A35" s="184"/>
    </row>
    <row r="36" spans="1:1" s="183" customFormat="1" ht="11.25" customHeight="1">
      <c r="A36" s="184"/>
    </row>
    <row r="37" spans="1:1" s="183" customFormat="1" ht="11.25" customHeight="1">
      <c r="A37" s="184"/>
    </row>
    <row r="38" spans="1:1" s="183" customFormat="1" ht="11.25" customHeight="1">
      <c r="A38" s="184"/>
    </row>
    <row r="39" spans="1:1" s="183" customFormat="1" ht="11.25" customHeight="1">
      <c r="A39" s="184"/>
    </row>
    <row r="40" spans="1:1" s="183" customFormat="1" ht="11.25" customHeight="1">
      <c r="A40" s="184"/>
    </row>
    <row r="41" spans="1:1" s="183" customFormat="1" ht="11.25" customHeight="1">
      <c r="A41" s="184"/>
    </row>
    <row r="42" spans="1:1" s="183" customFormat="1" ht="11.25" customHeight="1"/>
    <row r="43" spans="1:1" s="183" customFormat="1" ht="11.25" customHeight="1"/>
    <row r="44" spans="1:1" s="183" customFormat="1" ht="11.25" customHeight="1"/>
    <row r="45" spans="1:1" s="183" customFormat="1" ht="11.25" customHeight="1"/>
    <row r="46" spans="1:1" s="183" customFormat="1" ht="11.25" customHeight="1"/>
    <row r="47" spans="1:1" s="183" customFormat="1" ht="11.25" customHeight="1"/>
    <row r="48" spans="1:1" s="183" customFormat="1" ht="11.25" customHeight="1"/>
    <row r="49" s="183" customFormat="1" ht="11.25" customHeight="1"/>
    <row r="50" s="183" customFormat="1" ht="11.25" customHeight="1"/>
    <row r="51" s="183" customFormat="1" ht="11.25" customHeight="1"/>
    <row r="52" s="183" customFormat="1"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16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3"/>
  <sheetViews>
    <sheetView zoomScaleNormal="100" workbookViewId="0">
      <selection activeCell="E6" sqref="E6"/>
    </sheetView>
  </sheetViews>
  <sheetFormatPr baseColWidth="10" defaultColWidth="11.42578125" defaultRowHeight="12.75"/>
  <cols>
    <col min="1" max="1" width="5" style="192" bestFit="1" customWidth="1"/>
    <col min="2" max="2" width="20.42578125" style="188" customWidth="1"/>
    <col min="3" max="3" width="9.28515625" style="188" customWidth="1"/>
    <col min="4" max="4" width="10" style="188" customWidth="1"/>
    <col min="5" max="5" width="7.42578125" style="188" customWidth="1"/>
    <col min="6" max="26" width="1.140625" style="188" customWidth="1"/>
    <col min="27" max="16384" width="11.42578125" style="189"/>
  </cols>
  <sheetData>
    <row r="1" spans="1:5" ht="12" customHeight="1"/>
    <row r="2" spans="1:5" ht="12.75" customHeight="1">
      <c r="A2" s="312" t="s">
        <v>413</v>
      </c>
      <c r="B2" s="312" t="s">
        <v>414</v>
      </c>
      <c r="C2" s="194" t="s">
        <v>445</v>
      </c>
      <c r="D2" s="195"/>
      <c r="E2" s="314" t="s">
        <v>415</v>
      </c>
    </row>
    <row r="3" spans="1:5">
      <c r="A3" s="313"/>
      <c r="B3" s="313"/>
      <c r="C3" s="316">
        <v>2015</v>
      </c>
      <c r="D3" s="318">
        <v>2016</v>
      </c>
      <c r="E3" s="315"/>
    </row>
    <row r="4" spans="1:5">
      <c r="C4" s="317"/>
      <c r="D4" s="319"/>
    </row>
    <row r="5" spans="1:5">
      <c r="A5" s="198" t="s">
        <v>428</v>
      </c>
      <c r="B5" s="188" t="s">
        <v>439</v>
      </c>
      <c r="C5" s="243">
        <v>3722</v>
      </c>
      <c r="D5" s="243">
        <v>3676</v>
      </c>
      <c r="E5" s="244">
        <f>D5/C5*100-100</f>
        <v>-1.2358946802794151</v>
      </c>
    </row>
    <row r="6" spans="1:5">
      <c r="A6" s="192">
        <v>233</v>
      </c>
      <c r="B6" s="188" t="s">
        <v>437</v>
      </c>
      <c r="C6" s="243">
        <v>4359</v>
      </c>
      <c r="D6" s="243">
        <v>4276</v>
      </c>
      <c r="E6" s="244">
        <f t="shared" ref="E6:E26" si="0">D6/C6*100-100</f>
        <v>-1.9041064464326638</v>
      </c>
    </row>
    <row r="7" spans="1:5">
      <c r="A7" s="192">
        <v>333</v>
      </c>
      <c r="B7" s="188" t="s">
        <v>416</v>
      </c>
      <c r="C7" s="243">
        <v>20213</v>
      </c>
      <c r="D7" s="243">
        <v>20222</v>
      </c>
      <c r="E7" s="244">
        <f t="shared" si="0"/>
        <v>4.4525800227575019E-2</v>
      </c>
    </row>
    <row r="8" spans="1:5">
      <c r="A8" s="192">
        <v>334</v>
      </c>
      <c r="B8" s="188" t="s">
        <v>426</v>
      </c>
      <c r="C8" s="243">
        <v>20192</v>
      </c>
      <c r="D8" s="243">
        <v>18964</v>
      </c>
      <c r="E8" s="244">
        <f t="shared" si="0"/>
        <v>-6.0816164817749723</v>
      </c>
    </row>
    <row r="9" spans="1:5">
      <c r="A9" s="192">
        <v>338</v>
      </c>
      <c r="B9" s="188" t="s">
        <v>421</v>
      </c>
      <c r="C9" s="243">
        <v>6598</v>
      </c>
      <c r="D9" s="243">
        <v>6691</v>
      </c>
      <c r="E9" s="244">
        <f t="shared" si="0"/>
        <v>1.4095180357684143</v>
      </c>
    </row>
    <row r="10" spans="1:5">
      <c r="A10" s="192">
        <v>141</v>
      </c>
      <c r="B10" s="188" t="s">
        <v>423</v>
      </c>
      <c r="C10" s="243">
        <v>7966</v>
      </c>
      <c r="D10" s="243">
        <v>7788</v>
      </c>
      <c r="E10" s="244">
        <f t="shared" si="0"/>
        <v>-2.2344966105950306</v>
      </c>
    </row>
    <row r="11" spans="1:5">
      <c r="A11" s="198" t="s">
        <v>430</v>
      </c>
      <c r="B11" s="188" t="s">
        <v>420</v>
      </c>
      <c r="C11" s="243">
        <v>5872</v>
      </c>
      <c r="D11" s="243">
        <v>5920</v>
      </c>
      <c r="E11" s="244">
        <f t="shared" si="0"/>
        <v>0.81743869209809361</v>
      </c>
    </row>
    <row r="12" spans="1:5">
      <c r="B12" s="188" t="s">
        <v>427</v>
      </c>
      <c r="C12" s="243">
        <v>6682</v>
      </c>
      <c r="D12" s="243">
        <v>6744</v>
      </c>
      <c r="E12" s="244">
        <f t="shared" si="0"/>
        <v>0.9278659084106522</v>
      </c>
    </row>
    <row r="13" spans="1:5">
      <c r="A13" s="192">
        <v>134</v>
      </c>
      <c r="B13" s="188" t="s">
        <v>417</v>
      </c>
      <c r="C13" s="243">
        <v>3707</v>
      </c>
      <c r="D13" s="243">
        <v>3734</v>
      </c>
      <c r="E13" s="244">
        <f t="shared" si="0"/>
        <v>0.72835176692743175</v>
      </c>
    </row>
    <row r="14" spans="1:5">
      <c r="A14" s="192">
        <v>137</v>
      </c>
      <c r="B14" s="188" t="s">
        <v>436</v>
      </c>
      <c r="C14" s="243">
        <v>986</v>
      </c>
      <c r="D14" s="243">
        <v>946</v>
      </c>
      <c r="E14" s="244">
        <f t="shared" si="0"/>
        <v>-4.0567951318458455</v>
      </c>
    </row>
    <row r="15" spans="1:5">
      <c r="A15" s="192">
        <v>231</v>
      </c>
      <c r="B15" s="188" t="s">
        <v>434</v>
      </c>
      <c r="C15" s="243">
        <v>1174</v>
      </c>
      <c r="D15" s="243">
        <v>1226</v>
      </c>
      <c r="E15" s="244">
        <f t="shared" si="0"/>
        <v>4.4293015332197712</v>
      </c>
    </row>
    <row r="16" spans="1:5">
      <c r="A16" s="192">
        <v>232</v>
      </c>
      <c r="B16" s="188" t="s">
        <v>441</v>
      </c>
      <c r="C16" s="243">
        <v>1117</v>
      </c>
      <c r="D16" s="243">
        <v>1059</v>
      </c>
      <c r="E16" s="244">
        <f t="shared" si="0"/>
        <v>-5.1924798567591779</v>
      </c>
    </row>
    <row r="17" spans="1:5">
      <c r="A17" s="192">
        <v>235</v>
      </c>
      <c r="B17" s="199" t="s">
        <v>432</v>
      </c>
      <c r="C17" s="243">
        <v>123861</v>
      </c>
      <c r="D17" s="243">
        <v>124018</v>
      </c>
      <c r="E17" s="244">
        <f t="shared" si="0"/>
        <v>0.126754991482386</v>
      </c>
    </row>
    <row r="18" spans="1:5">
      <c r="A18" s="192">
        <v>335</v>
      </c>
      <c r="B18" s="188" t="s">
        <v>438</v>
      </c>
      <c r="C18" s="243">
        <v>3672</v>
      </c>
      <c r="D18" s="243">
        <v>3768</v>
      </c>
      <c r="E18" s="244">
        <f t="shared" si="0"/>
        <v>2.614379084967311</v>
      </c>
    </row>
    <row r="19" spans="1:5">
      <c r="A19" s="192">
        <v>140</v>
      </c>
      <c r="B19" s="188" t="s">
        <v>425</v>
      </c>
      <c r="C19" s="243">
        <v>3930</v>
      </c>
      <c r="D19" s="243">
        <v>3911</v>
      </c>
      <c r="E19" s="244">
        <f t="shared" si="0"/>
        <v>-0.48346055979642699</v>
      </c>
    </row>
    <row r="20" spans="1:5">
      <c r="A20" s="192">
        <v>336</v>
      </c>
      <c r="B20" s="188" t="s">
        <v>419</v>
      </c>
      <c r="C20" s="243">
        <v>5735</v>
      </c>
      <c r="D20" s="243">
        <v>5990</v>
      </c>
      <c r="E20" s="244">
        <f t="shared" si="0"/>
        <v>4.4463818657367113</v>
      </c>
    </row>
    <row r="21" spans="1:5">
      <c r="A21" s="192">
        <v>337</v>
      </c>
      <c r="B21" s="188" t="s">
        <v>418</v>
      </c>
      <c r="C21" s="243">
        <v>886</v>
      </c>
      <c r="D21" s="243">
        <v>848</v>
      </c>
      <c r="E21" s="244">
        <f t="shared" si="0"/>
        <v>-4.2889390519187316</v>
      </c>
    </row>
    <row r="22" spans="1:5">
      <c r="A22" s="192">
        <v>332</v>
      </c>
      <c r="B22" s="188" t="s">
        <v>424</v>
      </c>
      <c r="C22" s="243">
        <v>7964</v>
      </c>
      <c r="D22" s="243">
        <v>7697</v>
      </c>
      <c r="E22" s="244">
        <f t="shared" si="0"/>
        <v>-3.3525866398794619</v>
      </c>
    </row>
    <row r="23" spans="1:5">
      <c r="A23" s="192">
        <v>143</v>
      </c>
      <c r="B23" s="188" t="s">
        <v>431</v>
      </c>
      <c r="C23" s="243">
        <v>5968</v>
      </c>
      <c r="D23" s="243">
        <v>7464</v>
      </c>
      <c r="E23" s="244">
        <f t="shared" si="0"/>
        <v>25.067024128686327</v>
      </c>
    </row>
    <row r="24" spans="1:5">
      <c r="A24" s="198" t="s">
        <v>440</v>
      </c>
      <c r="B24" s="188" t="s">
        <v>422</v>
      </c>
      <c r="C24" s="243">
        <v>1050</v>
      </c>
      <c r="D24" s="243">
        <v>975</v>
      </c>
      <c r="E24" s="244">
        <f t="shared" si="0"/>
        <v>-7.1428571428571388</v>
      </c>
    </row>
    <row r="25" spans="1:5">
      <c r="A25" s="192">
        <v>331</v>
      </c>
      <c r="B25" s="188" t="s">
        <v>429</v>
      </c>
      <c r="C25" s="243">
        <v>10308</v>
      </c>
      <c r="D25" s="243">
        <v>10285</v>
      </c>
      <c r="E25" s="244">
        <f t="shared" si="0"/>
        <v>-0.22312766783080917</v>
      </c>
    </row>
    <row r="26" spans="1:5">
      <c r="A26" s="192">
        <v>133</v>
      </c>
      <c r="B26" s="188" t="s">
        <v>435</v>
      </c>
      <c r="C26" s="243">
        <v>484</v>
      </c>
      <c r="D26" s="243">
        <v>518</v>
      </c>
      <c r="E26" s="244">
        <f t="shared" si="0"/>
        <v>7.0247933884297566</v>
      </c>
    </row>
    <row r="28" spans="1:5">
      <c r="A28" s="198"/>
      <c r="C28" s="196"/>
      <c r="D28" s="196"/>
      <c r="E28" s="197"/>
    </row>
    <row r="29" spans="1:5">
      <c r="A29" s="198"/>
      <c r="C29" s="196"/>
      <c r="D29" s="196"/>
      <c r="E29" s="197"/>
    </row>
    <row r="39" spans="2:26" s="192" customFormat="1" ht="9">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row>
    <row r="40" spans="2:26" s="192" customFormat="1" ht="9">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row>
    <row r="41" spans="2:26" s="192" customFormat="1" ht="9">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row>
    <row r="42" spans="2:26" s="192" customFormat="1" ht="9">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2:26" s="192" customFormat="1" ht="9">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2:26" s="192" customFormat="1" ht="9">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2:26" s="192" customFormat="1" ht="9">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2:26" s="192" customFormat="1" ht="9">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2:26" s="192" customFormat="1" ht="9">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2:26" s="192" customFormat="1" ht="9">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s="192" customFormat="1" ht="9">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s="192" customFormat="1" ht="9">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s="192" customFormat="1" ht="9">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s="192" customFormat="1" ht="9">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s="192" customFormat="1" ht="9">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64" spans="1:26" s="187" customFormat="1">
      <c r="A64" s="192"/>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s="187" customFormat="1">
      <c r="A65" s="192"/>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s="187" customFormat="1">
      <c r="A66" s="192"/>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s="187" customFormat="1">
      <c r="A67" s="192"/>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s="187" customFormat="1">
      <c r="A68" s="192"/>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s="187" customFormat="1">
      <c r="A69" s="192"/>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s="187" customFormat="1">
      <c r="A70" s="192"/>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s="187" customFormat="1">
      <c r="A71" s="192"/>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s="187" customFormat="1">
      <c r="A72" s="192"/>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s="187" customFormat="1">
      <c r="A73" s="192"/>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sheetData>
  <sortState ref="A5:E26">
    <sortCondition ref="E5:E26"/>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cols>
    <col min="1" max="1" width="87.5703125" style="187" customWidth="1"/>
    <col min="2" max="26" width="1" style="188" customWidth="1"/>
    <col min="27" max="16384" width="11.42578125" style="189"/>
  </cols>
  <sheetData>
    <row r="1" spans="1:1" ht="12.75" customHeight="1"/>
    <row r="2" spans="1:1" ht="26.25" customHeight="1">
      <c r="A2" s="190" t="s">
        <v>464</v>
      </c>
    </row>
    <row r="3" spans="1:1">
      <c r="A3" s="191" t="s">
        <v>433</v>
      </c>
    </row>
    <row r="4" spans="1:1">
      <c r="A4" s="191" t="s">
        <v>296</v>
      </c>
    </row>
    <row r="6" spans="1:1">
      <c r="A6" s="189"/>
    </row>
    <row r="7" spans="1:1">
      <c r="A7" s="189"/>
    </row>
    <row r="8" spans="1:1">
      <c r="A8" s="189"/>
    </row>
    <row r="9" spans="1:1">
      <c r="A9" s="189"/>
    </row>
    <row r="10" spans="1:1">
      <c r="A10" s="189"/>
    </row>
    <row r="11" spans="1:1">
      <c r="A11" s="189"/>
    </row>
    <row r="12" spans="1:1">
      <c r="A12" s="189"/>
    </row>
    <row r="13" spans="1:1">
      <c r="A13" s="189"/>
    </row>
    <row r="14" spans="1:1">
      <c r="A14" s="189"/>
    </row>
    <row r="15" spans="1:1">
      <c r="A15" s="189"/>
    </row>
    <row r="16" spans="1:1">
      <c r="A16" s="189"/>
    </row>
    <row r="17" spans="1:1">
      <c r="A17" s="189"/>
    </row>
    <row r="18" spans="1:1">
      <c r="A18" s="189"/>
    </row>
    <row r="19" spans="1:1">
      <c r="A19" s="189"/>
    </row>
    <row r="20" spans="1:1">
      <c r="A20" s="189"/>
    </row>
    <row r="21" spans="1:1">
      <c r="A21" s="189"/>
    </row>
    <row r="22" spans="1:1">
      <c r="A22" s="189"/>
    </row>
    <row r="23" spans="1:1">
      <c r="A23" s="189"/>
    </row>
    <row r="24" spans="1:1">
      <c r="A24" s="189"/>
    </row>
    <row r="25" spans="1:1">
      <c r="A25" s="189"/>
    </row>
    <row r="26" spans="1:1">
      <c r="A26" s="189"/>
    </row>
    <row r="27" spans="1:1">
      <c r="A27" s="189"/>
    </row>
    <row r="28" spans="1:1">
      <c r="A28" s="189"/>
    </row>
    <row r="29" spans="1:1">
      <c r="A29" s="189"/>
    </row>
    <row r="30" spans="1:1">
      <c r="A30" s="189"/>
    </row>
    <row r="31" spans="1:1">
      <c r="A31" s="189"/>
    </row>
    <row r="32" spans="1:1">
      <c r="A32" s="189"/>
    </row>
    <row r="33" spans="1:26">
      <c r="A33" s="189"/>
    </row>
    <row r="34" spans="1:26">
      <c r="A34" s="189"/>
    </row>
    <row r="35" spans="1:26">
      <c r="A35" s="189"/>
    </row>
    <row r="36" spans="1:26">
      <c r="A36" s="189"/>
    </row>
    <row r="37" spans="1:26">
      <c r="A37" s="189"/>
    </row>
    <row r="42" spans="1:26" s="192" customFormat="1">
      <c r="A42" s="187"/>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1:26" s="192" customFormat="1">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1:26" s="192" customFormat="1">
      <c r="A44" s="187"/>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1:26" s="192" customFormat="1">
      <c r="A45" s="187"/>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1:26" s="192" customFormat="1">
      <c r="A46" s="187"/>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1:26" s="192" customFormat="1">
      <c r="A47" s="187"/>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1:26" s="192" customFormat="1">
      <c r="A48" s="187"/>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s="192" customFormat="1">
      <c r="A49" s="187"/>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s="192" customFormat="1">
      <c r="A50" s="187"/>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s="192" customFormat="1">
      <c r="A51" s="187"/>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s="192" customFormat="1">
      <c r="A52" s="187"/>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s="192" customFormat="1">
      <c r="A53" s="187"/>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54" spans="1:26" s="192" customFormat="1">
      <c r="A54" s="187"/>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s="192" customFormat="1">
      <c r="A55" s="187"/>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s="192" customFormat="1">
      <c r="A56" s="187"/>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67" spans="1:26" s="187" customFormat="1">
      <c r="A67" s="193"/>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s="187" customFormat="1">
      <c r="A68" s="193"/>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s="187" customFormat="1">
      <c r="A69" s="193"/>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s="187" customFormat="1">
      <c r="A70" s="193"/>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s="187" customFormat="1">
      <c r="A71" s="193"/>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s="187" customFormat="1">
      <c r="A72" s="193"/>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s="187" customFormat="1">
      <c r="A73" s="193"/>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s="187" customFormat="1">
      <c r="A74" s="193"/>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s="187" customFormat="1">
      <c r="A75" s="193"/>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s="187" customFormat="1">
      <c r="A76" s="193"/>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sheetData>
  <pageMargins left="0.70866141732283472" right="0.70866141732283472" top="0.78740157480314965" bottom="0.78740157480314965" header="0.31496062992125984" footer="0.31496062992125984"/>
  <pageSetup paperSize="9" orientation="portrait" r:id="rId1"/>
  <headerFooter scaleWithDoc="0">
    <oddFooter>&amp;L&amp;8Statistikamt Nord&amp;C&amp;8&amp;P&amp;R&amp;8Statistischer Bericht E I 1 - j 16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2"/>
  <sheetViews>
    <sheetView zoomScale="150" zoomScaleNormal="150" workbookViewId="0">
      <selection activeCell="D26" sqref="D26"/>
    </sheetView>
  </sheetViews>
  <sheetFormatPr baseColWidth="10" defaultColWidth="11.42578125" defaultRowHeight="12.75"/>
  <cols>
    <col min="1" max="1" width="5" style="192" bestFit="1" customWidth="1"/>
    <col min="2" max="2" width="20.42578125" style="188" customWidth="1"/>
    <col min="3" max="3" width="9.85546875" style="188" bestFit="1" customWidth="1"/>
    <col min="4" max="4" width="10" style="188" customWidth="1"/>
    <col min="5" max="5" width="7.42578125" style="188" customWidth="1"/>
    <col min="6" max="26" width="1.140625" style="188" customWidth="1"/>
    <col min="27" max="16384" width="11.42578125" style="189"/>
  </cols>
  <sheetData>
    <row r="1" spans="1:5" ht="12" customHeight="1"/>
    <row r="2" spans="1:5" ht="12.75" customHeight="1">
      <c r="A2" s="312" t="s">
        <v>413</v>
      </c>
      <c r="B2" s="312" t="s">
        <v>414</v>
      </c>
      <c r="C2" s="194" t="s">
        <v>13</v>
      </c>
      <c r="D2" s="195"/>
      <c r="E2" s="314" t="s">
        <v>415</v>
      </c>
    </row>
    <row r="3" spans="1:5">
      <c r="A3" s="313"/>
      <c r="B3" s="313"/>
      <c r="C3" s="320" t="s">
        <v>446</v>
      </c>
      <c r="D3" s="321" t="s">
        <v>462</v>
      </c>
      <c r="E3" s="315"/>
    </row>
    <row r="4" spans="1:5">
      <c r="C4" s="317"/>
      <c r="D4" s="319"/>
    </row>
    <row r="5" spans="1:5">
      <c r="B5" s="188" t="s">
        <v>427</v>
      </c>
      <c r="C5" s="243">
        <v>1565692646</v>
      </c>
      <c r="D5" s="243">
        <v>2012425519</v>
      </c>
      <c r="E5" s="244">
        <f>D5/C5*100-100</f>
        <v>28.532603390665713</v>
      </c>
    </row>
    <row r="6" spans="1:5">
      <c r="A6" s="198" t="s">
        <v>430</v>
      </c>
      <c r="B6" s="188" t="s">
        <v>431</v>
      </c>
      <c r="C6" s="243">
        <v>1821061196</v>
      </c>
      <c r="D6" s="243">
        <v>2067539001</v>
      </c>
      <c r="E6" s="244">
        <f t="shared" ref="E6:E25" si="0">D6/C6*100-100</f>
        <v>13.53484471259911</v>
      </c>
    </row>
    <row r="7" spans="1:5">
      <c r="A7" s="192">
        <v>336</v>
      </c>
      <c r="B7" s="188" t="s">
        <v>429</v>
      </c>
      <c r="C7" s="243">
        <v>1885942479</v>
      </c>
      <c r="D7" s="243">
        <v>2454351608</v>
      </c>
      <c r="E7" s="244">
        <f t="shared" si="0"/>
        <v>30.139261156119289</v>
      </c>
    </row>
    <row r="8" spans="1:5">
      <c r="A8" s="192">
        <v>338</v>
      </c>
      <c r="B8" s="199" t="s">
        <v>432</v>
      </c>
      <c r="C8" s="243">
        <v>36018872278</v>
      </c>
      <c r="D8" s="243">
        <v>35975244384</v>
      </c>
      <c r="E8" s="244">
        <f t="shared" si="0"/>
        <v>-0.12112509704155627</v>
      </c>
    </row>
    <row r="9" spans="1:5">
      <c r="A9" s="192">
        <v>334</v>
      </c>
      <c r="B9" s="188" t="s">
        <v>419</v>
      </c>
      <c r="C9" s="243">
        <v>2638085583</v>
      </c>
      <c r="D9" s="243">
        <v>2538428138</v>
      </c>
      <c r="E9" s="244">
        <f t="shared" si="0"/>
        <v>-3.7776426072830702</v>
      </c>
    </row>
    <row r="10" spans="1:5">
      <c r="A10" s="192">
        <v>141</v>
      </c>
      <c r="B10" s="188" t="s">
        <v>425</v>
      </c>
      <c r="C10" s="243">
        <v>722133361</v>
      </c>
      <c r="D10" s="243">
        <v>738138285</v>
      </c>
      <c r="E10" s="244">
        <f t="shared" si="0"/>
        <v>2.216339095293506</v>
      </c>
    </row>
    <row r="11" spans="1:5">
      <c r="A11" s="192">
        <v>235</v>
      </c>
      <c r="B11" s="188" t="s">
        <v>439</v>
      </c>
      <c r="C11" s="243">
        <v>526213848</v>
      </c>
      <c r="D11" s="243">
        <v>564218493</v>
      </c>
      <c r="E11" s="244">
        <f t="shared" si="0"/>
        <v>7.2222814250224872</v>
      </c>
    </row>
    <row r="12" spans="1:5">
      <c r="A12" s="192">
        <v>332</v>
      </c>
      <c r="B12" s="188" t="s">
        <v>416</v>
      </c>
      <c r="C12" s="243">
        <v>6240767140</v>
      </c>
      <c r="D12" s="243">
        <v>6012482487</v>
      </c>
      <c r="E12" s="244">
        <f t="shared" si="0"/>
        <v>-3.6579581945433688</v>
      </c>
    </row>
    <row r="13" spans="1:5">
      <c r="A13" s="192">
        <v>337</v>
      </c>
      <c r="B13" s="188" t="s">
        <v>426</v>
      </c>
      <c r="C13" s="243">
        <v>6848259444</v>
      </c>
      <c r="D13" s="243">
        <v>6191888138</v>
      </c>
      <c r="E13" s="244">
        <f t="shared" si="0"/>
        <v>-9.5844982417403912</v>
      </c>
    </row>
    <row r="14" spans="1:5">
      <c r="A14" s="192">
        <v>233</v>
      </c>
      <c r="B14" s="188" t="s">
        <v>441</v>
      </c>
      <c r="C14" s="243">
        <v>176138390</v>
      </c>
      <c r="D14" s="243">
        <v>166153507</v>
      </c>
      <c r="E14" s="244">
        <f t="shared" si="0"/>
        <v>-5.6687715835258956</v>
      </c>
    </row>
    <row r="15" spans="1:5">
      <c r="A15" s="192">
        <v>331</v>
      </c>
      <c r="B15" s="188" t="s">
        <v>434</v>
      </c>
      <c r="C15" s="243">
        <v>440675055</v>
      </c>
      <c r="D15" s="243">
        <v>391200080</v>
      </c>
      <c r="E15" s="244">
        <f t="shared" si="0"/>
        <v>-11.227087723401993</v>
      </c>
    </row>
    <row r="16" spans="1:5">
      <c r="A16" s="192">
        <v>140</v>
      </c>
      <c r="B16" s="188" t="s">
        <v>417</v>
      </c>
      <c r="C16" s="243">
        <v>823109663</v>
      </c>
      <c r="D16" s="243">
        <v>799129736</v>
      </c>
      <c r="E16" s="244">
        <f t="shared" si="0"/>
        <v>-2.9133331897234598</v>
      </c>
    </row>
    <row r="17" spans="1:5">
      <c r="A17" s="192">
        <v>232</v>
      </c>
      <c r="B17" s="188" t="s">
        <v>437</v>
      </c>
      <c r="C17" s="243">
        <v>1133632966</v>
      </c>
      <c r="D17" s="243">
        <v>1088177368</v>
      </c>
      <c r="E17" s="244">
        <f t="shared" si="0"/>
        <v>-4.0097279598695081</v>
      </c>
    </row>
    <row r="18" spans="1:5">
      <c r="A18" s="192">
        <v>133</v>
      </c>
      <c r="B18" s="188" t="s">
        <v>436</v>
      </c>
      <c r="C18" s="243">
        <v>143664955</v>
      </c>
      <c r="D18" s="243">
        <v>140782227</v>
      </c>
      <c r="E18" s="244">
        <f t="shared" si="0"/>
        <v>-2.0065631176371426</v>
      </c>
    </row>
    <row r="19" spans="1:5">
      <c r="A19" s="198" t="s">
        <v>440</v>
      </c>
      <c r="B19" s="188" t="s">
        <v>421</v>
      </c>
      <c r="C19" s="243">
        <v>1234669054</v>
      </c>
      <c r="D19" s="243">
        <v>1284334512</v>
      </c>
      <c r="E19" s="244">
        <f t="shared" si="0"/>
        <v>4.0225725135895516</v>
      </c>
    </row>
    <row r="20" spans="1:5">
      <c r="A20" s="192">
        <v>137</v>
      </c>
      <c r="B20" s="188" t="s">
        <v>423</v>
      </c>
      <c r="C20" s="243">
        <v>1082344539</v>
      </c>
      <c r="D20" s="243">
        <v>1047941189</v>
      </c>
      <c r="E20" s="244">
        <f t="shared" si="0"/>
        <v>-3.1785950554881595</v>
      </c>
    </row>
    <row r="21" spans="1:5">
      <c r="A21" s="192">
        <v>335</v>
      </c>
      <c r="B21" s="188" t="s">
        <v>438</v>
      </c>
      <c r="C21" s="243">
        <v>835975372</v>
      </c>
      <c r="D21" s="243">
        <v>903699216</v>
      </c>
      <c r="E21" s="244">
        <f t="shared" si="0"/>
        <v>8.1011769327577809</v>
      </c>
    </row>
    <row r="22" spans="1:5">
      <c r="A22" s="192">
        <v>134</v>
      </c>
      <c r="B22" s="188" t="s">
        <v>435</v>
      </c>
      <c r="C22" s="243">
        <v>134082996</v>
      </c>
      <c r="D22" s="243">
        <v>140272069</v>
      </c>
      <c r="E22" s="244">
        <f t="shared" si="0"/>
        <v>4.6158522591485109</v>
      </c>
    </row>
    <row r="23" spans="1:5">
      <c r="A23" s="198" t="s">
        <v>428</v>
      </c>
      <c r="B23" s="188" t="s">
        <v>420</v>
      </c>
      <c r="C23" s="243">
        <v>2402554229</v>
      </c>
      <c r="D23" s="243">
        <v>2478175552</v>
      </c>
      <c r="E23" s="244">
        <f t="shared" si="0"/>
        <v>3.1475386522898674</v>
      </c>
    </row>
    <row r="24" spans="1:5">
      <c r="A24" s="192">
        <v>333</v>
      </c>
      <c r="B24" s="188" t="s">
        <v>424</v>
      </c>
      <c r="C24" s="243">
        <v>1906109227</v>
      </c>
      <c r="D24" s="243">
        <v>1928048954</v>
      </c>
      <c r="E24" s="244">
        <f t="shared" si="0"/>
        <v>1.1510214991472765</v>
      </c>
    </row>
    <row r="25" spans="1:5">
      <c r="A25" s="192">
        <v>143</v>
      </c>
      <c r="B25" s="188" t="s">
        <v>422</v>
      </c>
      <c r="C25" s="243">
        <v>215327822</v>
      </c>
      <c r="D25" s="243">
        <v>200740371</v>
      </c>
      <c r="E25" s="244">
        <f t="shared" si="0"/>
        <v>-6.7745314397876513</v>
      </c>
    </row>
    <row r="27" spans="1:5">
      <c r="A27" s="198"/>
      <c r="C27" s="196"/>
      <c r="D27" s="196"/>
      <c r="E27" s="197"/>
    </row>
    <row r="28" spans="1:5">
      <c r="A28" s="198"/>
      <c r="C28" s="196"/>
      <c r="D28" s="196"/>
      <c r="E28" s="197"/>
    </row>
    <row r="38" spans="2:26" s="192" customFormat="1" ht="9">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row>
    <row r="39" spans="2:26" s="192" customFormat="1" ht="9">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row>
    <row r="40" spans="2:26" s="192" customFormat="1" ht="9">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row>
    <row r="41" spans="2:26" s="192" customFormat="1" ht="9">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row>
    <row r="42" spans="2:26" s="192" customFormat="1" ht="9">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2:26" s="192" customFormat="1" ht="9">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2:26" s="192" customFormat="1" ht="9">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2:26" s="192" customFormat="1" ht="9">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2:26" s="192" customFormat="1" ht="9">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2:26" s="192" customFormat="1" ht="9">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2:26" s="192" customFormat="1" ht="9">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s="192" customFormat="1" ht="9">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s="192" customFormat="1" ht="9">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s="192" customFormat="1" ht="9">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s="192" customFormat="1" ht="9">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63" spans="1:26" s="187" customFormat="1">
      <c r="A63" s="192"/>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row>
    <row r="64" spans="1:26" s="187" customFormat="1">
      <c r="A64" s="192"/>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s="187" customFormat="1">
      <c r="A65" s="192"/>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s="187" customFormat="1">
      <c r="A66" s="192"/>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s="187" customFormat="1">
      <c r="A67" s="192"/>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s="187" customFormat="1">
      <c r="A68" s="192"/>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s="187" customFormat="1">
      <c r="A69" s="192"/>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s="187" customFormat="1">
      <c r="A70" s="192"/>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s="187" customFormat="1">
      <c r="A71" s="192"/>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s="187" customFormat="1">
      <c r="A72" s="192"/>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sheetData>
  <sortState ref="A5:E25">
    <sortCondition ref="E5:E25"/>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cols>
    <col min="1" max="1" width="87.85546875" style="187" customWidth="1"/>
    <col min="2" max="26" width="1" style="188" customWidth="1"/>
    <col min="27" max="16384" width="11.42578125" style="189"/>
  </cols>
  <sheetData>
    <row r="1" spans="1:1" ht="12.75" customHeight="1">
      <c r="A1" s="200"/>
    </row>
    <row r="2" spans="1:1" ht="26.25" customHeight="1">
      <c r="A2" s="190" t="s">
        <v>463</v>
      </c>
    </row>
    <row r="3" spans="1:1">
      <c r="A3" s="191" t="s">
        <v>433</v>
      </c>
    </row>
    <row r="4" spans="1:1">
      <c r="A4" s="191" t="s">
        <v>296</v>
      </c>
    </row>
    <row r="5" spans="1:1">
      <c r="A5" s="200"/>
    </row>
    <row r="6" spans="1:1">
      <c r="A6" s="201"/>
    </row>
    <row r="7" spans="1:1">
      <c r="A7" s="189"/>
    </row>
    <row r="8" spans="1:1">
      <c r="A8" s="189"/>
    </row>
    <row r="9" spans="1:1">
      <c r="A9" s="189"/>
    </row>
    <row r="10" spans="1:1">
      <c r="A10" s="189"/>
    </row>
    <row r="11" spans="1:1">
      <c r="A11" s="189"/>
    </row>
    <row r="12" spans="1:1">
      <c r="A12" s="189"/>
    </row>
    <row r="13" spans="1:1">
      <c r="A13" s="189"/>
    </row>
    <row r="14" spans="1:1">
      <c r="A14" s="189"/>
    </row>
    <row r="15" spans="1:1">
      <c r="A15" s="189"/>
    </row>
    <row r="16" spans="1:1">
      <c r="A16" s="189"/>
    </row>
    <row r="17" spans="1:1">
      <c r="A17" s="189"/>
    </row>
    <row r="18" spans="1:1">
      <c r="A18" s="189"/>
    </row>
    <row r="19" spans="1:1">
      <c r="A19" s="189"/>
    </row>
    <row r="20" spans="1:1">
      <c r="A20" s="189"/>
    </row>
    <row r="21" spans="1:1">
      <c r="A21" s="189"/>
    </row>
    <row r="22" spans="1:1">
      <c r="A22" s="189"/>
    </row>
    <row r="23" spans="1:1">
      <c r="A23" s="189"/>
    </row>
    <row r="24" spans="1:1">
      <c r="A24" s="189"/>
    </row>
    <row r="25" spans="1:1">
      <c r="A25" s="189"/>
    </row>
    <row r="26" spans="1:1">
      <c r="A26" s="189"/>
    </row>
    <row r="27" spans="1:1">
      <c r="A27" s="189"/>
    </row>
    <row r="28" spans="1:1">
      <c r="A28" s="189"/>
    </row>
    <row r="29" spans="1:1">
      <c r="A29" s="189"/>
    </row>
    <row r="30" spans="1:1">
      <c r="A30" s="189"/>
    </row>
    <row r="31" spans="1:1">
      <c r="A31" s="189"/>
    </row>
    <row r="32" spans="1:1">
      <c r="A32" s="189"/>
    </row>
    <row r="33" spans="1:26">
      <c r="A33" s="189"/>
    </row>
    <row r="34" spans="1:26">
      <c r="A34" s="189"/>
    </row>
    <row r="35" spans="1:26">
      <c r="A35" s="189"/>
    </row>
    <row r="36" spans="1:26">
      <c r="A36" s="189"/>
    </row>
    <row r="37" spans="1:26">
      <c r="A37" s="189"/>
    </row>
    <row r="42" spans="1:26" s="192" customFormat="1">
      <c r="A42" s="187"/>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1:26" s="192" customFormat="1">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1:26" s="192" customFormat="1">
      <c r="A44" s="187"/>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1:26" s="192" customFormat="1">
      <c r="A45" s="187"/>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1:26" s="192" customFormat="1">
      <c r="A46" s="187"/>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1:26" s="192" customFormat="1">
      <c r="A47" s="187"/>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1:26" s="192" customFormat="1">
      <c r="A48" s="187"/>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s="192" customFormat="1">
      <c r="A49" s="187"/>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s="192" customFormat="1">
      <c r="A50" s="187"/>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s="192" customFormat="1">
      <c r="A51" s="187"/>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s="192" customFormat="1">
      <c r="A52" s="187"/>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s="192" customFormat="1">
      <c r="A53" s="187"/>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54" spans="1:26" s="192" customFormat="1">
      <c r="A54" s="187"/>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s="192" customFormat="1">
      <c r="A55" s="187"/>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s="192" customFormat="1">
      <c r="A56" s="187"/>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67" spans="1:26" s="187" customFormat="1">
      <c r="A67" s="193"/>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s="187" customFormat="1">
      <c r="A68" s="193"/>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s="187" customFormat="1">
      <c r="A69" s="193"/>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s="187" customFormat="1">
      <c r="A70" s="193"/>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s="187" customFormat="1">
      <c r="A71" s="193"/>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s="187" customFormat="1">
      <c r="A72" s="193"/>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s="187" customFormat="1">
      <c r="A73" s="193"/>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s="187" customFormat="1">
      <c r="A74" s="193"/>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s="187" customFormat="1">
      <c r="A75" s="193"/>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s="187" customFormat="1">
      <c r="A76" s="193"/>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sheetData>
  <pageMargins left="0.70866141732283472" right="0.70866141732283472" top="0.78740157480314965" bottom="0.78740157480314965" header="0.31496062992125984" footer="0.31496062992125984"/>
  <pageSetup paperSize="9" orientation="portrait" r:id="rId1"/>
  <headerFooter scaleWithDoc="0">
    <oddFooter>&amp;L&amp;8Statistikamt Nord&amp;C&amp;8&amp;P&amp;R&amp;8Statistischer Bericht E I 1 - j 16 SH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zoomScaleNormal="100" workbookViewId="0">
      <selection sqref="A1:G1"/>
    </sheetView>
  </sheetViews>
  <sheetFormatPr baseColWidth="10" defaultColWidth="10.85546875" defaultRowHeight="12.75"/>
  <cols>
    <col min="1" max="2" width="10.140625" style="5" customWidth="1"/>
    <col min="3" max="5" width="14.28515625" style="5" customWidth="1"/>
    <col min="6" max="6" width="12.7109375" style="5" customWidth="1"/>
    <col min="7" max="7" width="14.28515625" style="5" customWidth="1"/>
    <col min="8" max="8" width="10.7109375" style="5" customWidth="1"/>
    <col min="9" max="26" width="1.7109375" style="5" customWidth="1"/>
    <col min="27" max="57" width="12.140625" style="5" customWidth="1"/>
    <col min="58" max="16384" width="10.85546875" style="5"/>
  </cols>
  <sheetData>
    <row r="1" spans="1:7" s="131" customFormat="1" ht="15.75">
      <c r="A1" s="267" t="s">
        <v>315</v>
      </c>
      <c r="B1" s="267"/>
      <c r="C1" s="267"/>
      <c r="D1" s="267"/>
      <c r="E1" s="267"/>
      <c r="F1" s="267"/>
      <c r="G1" s="267"/>
    </row>
    <row r="2" spans="1:7" s="131" customFormat="1" ht="15.75">
      <c r="A2" s="166"/>
      <c r="B2" s="166"/>
      <c r="C2" s="166"/>
      <c r="D2" s="166"/>
      <c r="E2" s="166"/>
      <c r="F2" s="166"/>
      <c r="G2" s="166"/>
    </row>
    <row r="3" spans="1:7" s="131" customFormat="1"/>
    <row r="4" spans="1:7" s="131" customFormat="1" ht="15.75">
      <c r="A4" s="268" t="s">
        <v>316</v>
      </c>
      <c r="B4" s="269"/>
      <c r="C4" s="269"/>
      <c r="D4" s="269"/>
      <c r="E4" s="269"/>
      <c r="F4" s="269"/>
      <c r="G4" s="269"/>
    </row>
    <row r="5" spans="1:7" s="131" customFormat="1">
      <c r="A5" s="270"/>
      <c r="B5" s="270"/>
      <c r="C5" s="270"/>
      <c r="D5" s="270"/>
      <c r="E5" s="270"/>
      <c r="F5" s="270"/>
      <c r="G5" s="270"/>
    </row>
    <row r="6" spans="1:7" s="131" customFormat="1">
      <c r="A6" s="132" t="s">
        <v>317</v>
      </c>
    </row>
    <row r="7" spans="1:7" s="131" customFormat="1">
      <c r="A7" s="132"/>
    </row>
    <row r="8" spans="1:7" s="131" customFormat="1">
      <c r="A8" s="265" t="s">
        <v>318</v>
      </c>
      <c r="B8" s="266"/>
      <c r="C8" s="266"/>
      <c r="D8" s="266"/>
      <c r="E8" s="266"/>
      <c r="F8" s="266"/>
      <c r="G8" s="266"/>
    </row>
    <row r="9" spans="1:7" s="131" customFormat="1">
      <c r="A9" s="271" t="s">
        <v>319</v>
      </c>
      <c r="B9" s="266"/>
      <c r="C9" s="266"/>
      <c r="D9" s="266"/>
      <c r="E9" s="266"/>
      <c r="F9" s="266"/>
      <c r="G9" s="266"/>
    </row>
    <row r="10" spans="1:7" s="131" customFormat="1">
      <c r="A10" s="133"/>
    </row>
    <row r="11" spans="1:7" s="131" customFormat="1">
      <c r="A11" s="272" t="s">
        <v>320</v>
      </c>
      <c r="B11" s="272"/>
      <c r="C11" s="272"/>
      <c r="D11" s="272"/>
      <c r="E11" s="272"/>
      <c r="F11" s="272"/>
      <c r="G11" s="272"/>
    </row>
    <row r="12" spans="1:7" s="131" customFormat="1">
      <c r="A12" s="271" t="s">
        <v>321</v>
      </c>
      <c r="B12" s="266"/>
      <c r="C12" s="266"/>
      <c r="D12" s="266"/>
      <c r="E12" s="266"/>
      <c r="F12" s="266"/>
      <c r="G12" s="266"/>
    </row>
    <row r="13" spans="1:7" s="131" customFormat="1">
      <c r="A13" s="133"/>
    </row>
    <row r="14" spans="1:7" s="131" customFormat="1"/>
    <row r="15" spans="1:7" s="131" customFormat="1">
      <c r="A15" s="265" t="s">
        <v>322</v>
      </c>
      <c r="B15" s="266"/>
      <c r="C15" s="266"/>
      <c r="D15" s="134"/>
      <c r="E15" s="134"/>
      <c r="F15" s="134"/>
      <c r="G15" s="134"/>
    </row>
    <row r="16" spans="1:7" s="131" customFormat="1">
      <c r="A16" s="134"/>
      <c r="B16" s="135"/>
      <c r="C16" s="135"/>
      <c r="D16" s="134"/>
      <c r="E16" s="134"/>
      <c r="F16" s="134"/>
      <c r="G16" s="134"/>
    </row>
    <row r="17" spans="1:7" s="131" customFormat="1">
      <c r="A17" s="271" t="s">
        <v>323</v>
      </c>
      <c r="B17" s="266"/>
      <c r="C17" s="266"/>
      <c r="D17" s="136"/>
      <c r="E17" s="136"/>
      <c r="F17" s="136"/>
      <c r="G17" s="136"/>
    </row>
    <row r="18" spans="1:7" s="131" customFormat="1">
      <c r="A18" s="136" t="s">
        <v>324</v>
      </c>
      <c r="B18" s="271" t="s">
        <v>325</v>
      </c>
      <c r="C18" s="266"/>
      <c r="D18" s="136"/>
      <c r="E18" s="136"/>
      <c r="F18" s="136"/>
      <c r="G18" s="136"/>
    </row>
    <row r="19" spans="1:7" s="131" customFormat="1">
      <c r="A19" s="136" t="s">
        <v>326</v>
      </c>
      <c r="B19" s="273" t="s">
        <v>327</v>
      </c>
      <c r="C19" s="266"/>
      <c r="D19" s="266"/>
      <c r="E19" s="136"/>
      <c r="F19" s="136"/>
      <c r="G19" s="136"/>
    </row>
    <row r="20" spans="1:7" s="131" customFormat="1">
      <c r="A20" s="136"/>
      <c r="B20" s="137"/>
      <c r="C20" s="135"/>
      <c r="D20" s="135"/>
      <c r="E20" s="136"/>
      <c r="F20" s="136"/>
      <c r="G20" s="136"/>
    </row>
    <row r="21" spans="1:7" s="131" customFormat="1">
      <c r="A21" s="136"/>
      <c r="B21" s="135"/>
      <c r="C21" s="135"/>
      <c r="D21" s="135"/>
      <c r="E21" s="135"/>
      <c r="F21" s="135"/>
      <c r="G21" s="135"/>
    </row>
    <row r="22" spans="1:7" s="131" customFormat="1">
      <c r="A22" s="265" t="s">
        <v>328</v>
      </c>
      <c r="B22" s="266"/>
      <c r="C22" s="134"/>
      <c r="D22" s="134"/>
      <c r="E22" s="134"/>
      <c r="F22" s="134"/>
      <c r="G22" s="134"/>
    </row>
    <row r="23" spans="1:7" s="131" customFormat="1">
      <c r="A23" s="134"/>
      <c r="B23" s="135"/>
      <c r="C23" s="134"/>
      <c r="D23" s="134"/>
      <c r="E23" s="134"/>
      <c r="F23" s="134"/>
      <c r="G23" s="134"/>
    </row>
    <row r="24" spans="1:7" s="131" customFormat="1">
      <c r="A24" s="136" t="s">
        <v>329</v>
      </c>
      <c r="B24" s="271" t="s">
        <v>330</v>
      </c>
      <c r="C24" s="266"/>
      <c r="D24" s="136"/>
      <c r="E24" s="136"/>
      <c r="F24" s="136"/>
      <c r="G24" s="136"/>
    </row>
    <row r="25" spans="1:7" s="131" customFormat="1">
      <c r="A25" s="136" t="s">
        <v>331</v>
      </c>
      <c r="B25" s="271" t="s">
        <v>332</v>
      </c>
      <c r="C25" s="266"/>
      <c r="D25" s="136"/>
      <c r="E25" s="136"/>
      <c r="F25" s="136"/>
      <c r="G25" s="136"/>
    </row>
    <row r="26" spans="1:7" s="131" customFormat="1">
      <c r="A26" s="136"/>
      <c r="B26" s="266" t="s">
        <v>333</v>
      </c>
      <c r="C26" s="266"/>
      <c r="D26" s="135"/>
      <c r="E26" s="135"/>
      <c r="F26" s="135"/>
      <c r="G26" s="135"/>
    </row>
    <row r="27" spans="1:7" s="131" customFormat="1">
      <c r="A27" s="133"/>
    </row>
    <row r="28" spans="1:7" s="131" customFormat="1">
      <c r="A28" s="133" t="s">
        <v>334</v>
      </c>
      <c r="B28" s="138" t="s">
        <v>335</v>
      </c>
    </row>
    <row r="29" spans="1:7" s="131" customFormat="1">
      <c r="A29" s="133"/>
    </row>
    <row r="30" spans="1:7" s="131" customFormat="1">
      <c r="A30" s="274" t="s">
        <v>449</v>
      </c>
      <c r="B30" s="266"/>
      <c r="C30" s="266"/>
      <c r="D30" s="266"/>
      <c r="E30" s="266"/>
      <c r="F30" s="266"/>
      <c r="G30" s="266"/>
    </row>
    <row r="31" spans="1:7" s="131" customFormat="1">
      <c r="A31" s="139" t="s">
        <v>336</v>
      </c>
      <c r="B31" s="135"/>
      <c r="C31" s="135"/>
      <c r="D31" s="135"/>
      <c r="E31" s="135"/>
      <c r="F31" s="135"/>
      <c r="G31" s="135"/>
    </row>
    <row r="32" spans="1:7" s="131" customFormat="1" ht="45.4" customHeight="1">
      <c r="A32" s="271" t="s">
        <v>359</v>
      </c>
      <c r="B32" s="272"/>
      <c r="C32" s="272"/>
      <c r="D32" s="272"/>
      <c r="E32" s="272"/>
      <c r="F32" s="272"/>
      <c r="G32" s="272"/>
    </row>
    <row r="33" spans="1:8" s="131" customFormat="1">
      <c r="A33" s="271"/>
      <c r="B33" s="266"/>
      <c r="C33" s="266"/>
      <c r="D33" s="266"/>
      <c r="E33" s="266"/>
      <c r="F33" s="266"/>
      <c r="G33" s="266"/>
    </row>
    <row r="34" spans="1:8" s="131" customFormat="1">
      <c r="A34" s="165"/>
    </row>
    <row r="35" spans="1:8" s="131" customFormat="1">
      <c r="B35" s="131" t="s">
        <v>358</v>
      </c>
    </row>
    <row r="36" spans="1:8" s="131" customFormat="1">
      <c r="A36" s="140"/>
    </row>
    <row r="37" spans="1:8" s="131" customFormat="1"/>
    <row r="38" spans="1:8" s="131" customFormat="1"/>
    <row r="39" spans="1:8" s="131" customFormat="1"/>
    <row r="40" spans="1:8" s="131" customFormat="1"/>
    <row r="41" spans="1:8" s="131" customFormat="1"/>
    <row r="42" spans="1:8" s="131" customFormat="1">
      <c r="A42" s="141" t="s">
        <v>337</v>
      </c>
      <c r="B42" s="141"/>
      <c r="C42" s="142"/>
      <c r="D42" s="142"/>
      <c r="E42" s="143"/>
      <c r="F42" s="143"/>
      <c r="G42" s="143"/>
      <c r="H42" s="143"/>
    </row>
    <row r="43" spans="1:8" s="131" customFormat="1">
      <c r="A43" s="144">
        <v>0</v>
      </c>
      <c r="B43" s="145" t="s">
        <v>338</v>
      </c>
      <c r="C43" s="146"/>
      <c r="D43" s="146"/>
    </row>
    <row r="44" spans="1:8" s="131" customFormat="1">
      <c r="A44" s="145" t="s">
        <v>339</v>
      </c>
      <c r="B44" s="145" t="s">
        <v>340</v>
      </c>
      <c r="C44" s="146"/>
      <c r="D44" s="146"/>
    </row>
    <row r="45" spans="1:8" s="131" customFormat="1">
      <c r="A45" s="147" t="s">
        <v>341</v>
      </c>
      <c r="B45" s="145" t="s">
        <v>342</v>
      </c>
      <c r="C45" s="146"/>
      <c r="D45" s="146"/>
    </row>
    <row r="46" spans="1:8" s="131" customFormat="1">
      <c r="A46" s="147" t="s">
        <v>4</v>
      </c>
      <c r="B46" s="145" t="s">
        <v>343</v>
      </c>
      <c r="C46" s="146"/>
      <c r="D46" s="146"/>
    </row>
    <row r="47" spans="1:8" s="131" customFormat="1">
      <c r="A47" s="145" t="s">
        <v>344</v>
      </c>
      <c r="B47" s="145" t="s">
        <v>345</v>
      </c>
      <c r="C47" s="146"/>
      <c r="D47" s="146"/>
    </row>
    <row r="48" spans="1:8" s="131" customFormat="1">
      <c r="A48" s="145" t="s">
        <v>346</v>
      </c>
      <c r="B48" s="145" t="s">
        <v>347</v>
      </c>
      <c r="C48" s="146"/>
      <c r="D48" s="146"/>
    </row>
    <row r="49" spans="1:7" s="131" customFormat="1">
      <c r="A49" s="145" t="s">
        <v>348</v>
      </c>
      <c r="B49" s="145" t="s">
        <v>349</v>
      </c>
      <c r="C49" s="146"/>
      <c r="D49" s="146"/>
    </row>
    <row r="50" spans="1:7" s="131" customFormat="1">
      <c r="A50" s="145" t="s">
        <v>350</v>
      </c>
      <c r="B50" s="145" t="s">
        <v>351</v>
      </c>
      <c r="C50" s="146"/>
      <c r="D50" s="146"/>
    </row>
    <row r="51" spans="1:7" s="131" customFormat="1">
      <c r="A51" s="145" t="s">
        <v>352</v>
      </c>
      <c r="B51" s="145" t="s">
        <v>353</v>
      </c>
      <c r="C51" s="146"/>
      <c r="D51" s="146"/>
    </row>
    <row r="52" spans="1:7" s="131" customFormat="1">
      <c r="A52" s="145" t="s">
        <v>354</v>
      </c>
      <c r="B52" s="145" t="s">
        <v>355</v>
      </c>
      <c r="C52" s="146"/>
      <c r="D52" s="146"/>
    </row>
    <row r="53" spans="1:7" s="131" customFormat="1">
      <c r="A53" s="145" t="s">
        <v>356</v>
      </c>
      <c r="B53" s="145" t="s">
        <v>357</v>
      </c>
      <c r="C53" s="146"/>
      <c r="D53" s="146"/>
    </row>
    <row r="54" spans="1:7">
      <c r="A54" s="145"/>
      <c r="B54" s="148"/>
      <c r="C54" s="148"/>
      <c r="D54" s="148"/>
      <c r="E54" s="149"/>
      <c r="F54" s="149"/>
      <c r="G54" s="149"/>
    </row>
    <row r="55" spans="1:7">
      <c r="A55" s="149"/>
      <c r="B55" s="149"/>
      <c r="C55" s="149"/>
      <c r="D55" s="149"/>
      <c r="E55" s="149"/>
      <c r="F55" s="149"/>
      <c r="G55" s="149"/>
    </row>
    <row r="56" spans="1:7">
      <c r="A56" s="149"/>
      <c r="B56" s="149"/>
      <c r="C56" s="149"/>
      <c r="D56" s="149"/>
      <c r="E56" s="149"/>
      <c r="F56" s="149"/>
      <c r="G56" s="149"/>
    </row>
    <row r="57" spans="1:7">
      <c r="A57" s="149"/>
      <c r="B57" s="149"/>
      <c r="C57" s="149"/>
      <c r="D57" s="149"/>
      <c r="E57" s="149"/>
      <c r="F57" s="149"/>
      <c r="G57" s="149"/>
    </row>
    <row r="58" spans="1:7">
      <c r="A58" s="149"/>
      <c r="B58" s="149"/>
      <c r="C58" s="149"/>
      <c r="D58" s="149"/>
      <c r="E58" s="149"/>
      <c r="F58" s="149"/>
      <c r="G58" s="149"/>
    </row>
    <row r="59" spans="1:7">
      <c r="A59" s="149"/>
      <c r="B59" s="149"/>
      <c r="C59" s="149"/>
      <c r="D59" s="149"/>
      <c r="E59" s="149"/>
      <c r="F59" s="149"/>
      <c r="G59" s="149"/>
    </row>
    <row r="60" spans="1:7">
      <c r="A60" s="149"/>
      <c r="B60" s="149"/>
      <c r="C60" s="149"/>
      <c r="D60" s="149"/>
      <c r="E60" s="149"/>
      <c r="F60" s="149"/>
      <c r="G60" s="149"/>
    </row>
    <row r="61" spans="1:7">
      <c r="A61" s="149"/>
      <c r="B61" s="149"/>
      <c r="C61" s="149"/>
      <c r="D61" s="149"/>
      <c r="E61" s="149"/>
      <c r="F61" s="149"/>
      <c r="G61" s="149"/>
    </row>
    <row r="62" spans="1:7">
      <c r="A62" s="149"/>
      <c r="B62" s="149"/>
      <c r="C62" s="149"/>
      <c r="D62" s="149"/>
      <c r="E62" s="149"/>
      <c r="F62" s="149"/>
      <c r="G62" s="149"/>
    </row>
    <row r="63" spans="1:7">
      <c r="A63" s="149"/>
      <c r="B63" s="149"/>
      <c r="C63" s="149"/>
      <c r="D63" s="149"/>
      <c r="E63" s="149"/>
      <c r="F63" s="149"/>
      <c r="G63" s="149"/>
    </row>
    <row r="64" spans="1:7">
      <c r="A64" s="149"/>
      <c r="B64" s="149"/>
      <c r="C64" s="149"/>
      <c r="D64" s="149"/>
      <c r="E64" s="149"/>
      <c r="F64" s="149"/>
      <c r="G64" s="149"/>
    </row>
    <row r="65" spans="1:7">
      <c r="A65" s="149"/>
      <c r="B65" s="149"/>
      <c r="C65" s="149"/>
      <c r="D65" s="149"/>
      <c r="E65" s="149"/>
      <c r="F65" s="149"/>
      <c r="G65" s="149"/>
    </row>
    <row r="66" spans="1:7">
      <c r="A66" s="149"/>
      <c r="B66" s="149"/>
      <c r="C66" s="149"/>
      <c r="D66" s="149"/>
      <c r="E66" s="149"/>
      <c r="F66" s="149"/>
      <c r="G66" s="149"/>
    </row>
    <row r="67" spans="1:7">
      <c r="A67" s="149"/>
      <c r="B67" s="149"/>
      <c r="C67" s="149"/>
      <c r="D67" s="149"/>
      <c r="E67" s="149"/>
      <c r="F67" s="149"/>
      <c r="G67" s="149"/>
    </row>
    <row r="68" spans="1:7">
      <c r="A68" s="149"/>
      <c r="B68" s="149"/>
      <c r="C68" s="149"/>
      <c r="D68" s="149"/>
      <c r="E68" s="149"/>
      <c r="F68" s="149"/>
      <c r="G68" s="149"/>
    </row>
    <row r="69" spans="1:7">
      <c r="A69" s="149"/>
      <c r="B69" s="149"/>
      <c r="C69" s="149"/>
      <c r="D69" s="149"/>
      <c r="E69" s="149"/>
      <c r="F69" s="149"/>
      <c r="G69" s="149"/>
    </row>
    <row r="70" spans="1:7">
      <c r="A70" s="149"/>
      <c r="B70" s="149"/>
      <c r="C70" s="149"/>
      <c r="D70" s="149"/>
      <c r="E70" s="149"/>
      <c r="F70" s="149"/>
      <c r="G70" s="149"/>
    </row>
    <row r="71" spans="1:7">
      <c r="A71" s="149"/>
      <c r="B71" s="149"/>
      <c r="C71" s="149"/>
      <c r="D71" s="149"/>
      <c r="E71" s="149"/>
      <c r="F71" s="149"/>
      <c r="G71" s="149"/>
    </row>
    <row r="72" spans="1:7">
      <c r="A72" s="149"/>
      <c r="B72" s="149"/>
      <c r="C72" s="149"/>
      <c r="D72" s="149"/>
      <c r="E72" s="149"/>
      <c r="F72" s="149"/>
      <c r="G72" s="149"/>
    </row>
    <row r="73" spans="1:7">
      <c r="A73" s="149"/>
      <c r="B73" s="149"/>
      <c r="C73" s="149"/>
      <c r="D73" s="149"/>
      <c r="E73" s="149"/>
      <c r="F73" s="149"/>
      <c r="G73" s="149"/>
    </row>
    <row r="74" spans="1:7">
      <c r="A74" s="149"/>
      <c r="B74" s="149"/>
      <c r="C74" s="149"/>
      <c r="D74" s="149"/>
      <c r="E74" s="149"/>
      <c r="F74" s="149"/>
      <c r="G74" s="149"/>
    </row>
    <row r="75" spans="1:7">
      <c r="A75" s="149"/>
      <c r="B75" s="149"/>
      <c r="C75" s="149"/>
      <c r="D75" s="149"/>
      <c r="E75" s="149"/>
      <c r="F75" s="149"/>
      <c r="G75" s="149"/>
    </row>
    <row r="76" spans="1:7">
      <c r="A76" s="149"/>
      <c r="B76" s="149"/>
      <c r="C76" s="149"/>
      <c r="D76" s="149"/>
      <c r="E76" s="149"/>
      <c r="F76" s="149"/>
      <c r="G76" s="149"/>
    </row>
    <row r="77" spans="1:7">
      <c r="A77" s="149"/>
      <c r="B77" s="149"/>
      <c r="C77" s="149"/>
      <c r="D77" s="149"/>
      <c r="E77" s="149"/>
      <c r="F77" s="149"/>
      <c r="G77" s="149"/>
    </row>
    <row r="78" spans="1:7">
      <c r="A78" s="149"/>
      <c r="B78" s="149"/>
      <c r="C78" s="149"/>
      <c r="D78" s="149"/>
      <c r="E78" s="149"/>
      <c r="F78" s="149"/>
      <c r="G78" s="149"/>
    </row>
    <row r="79" spans="1:7">
      <c r="A79" s="149"/>
      <c r="B79" s="149"/>
      <c r="C79" s="149"/>
      <c r="D79" s="149"/>
      <c r="E79" s="149"/>
      <c r="F79" s="149"/>
      <c r="G79" s="149"/>
    </row>
    <row r="80" spans="1:7">
      <c r="A80" s="149"/>
      <c r="B80" s="149"/>
      <c r="C80" s="149"/>
      <c r="D80" s="149"/>
      <c r="E80" s="149"/>
      <c r="F80" s="149"/>
      <c r="G80" s="149"/>
    </row>
    <row r="81" spans="1:7">
      <c r="A81" s="149"/>
      <c r="B81" s="149"/>
      <c r="C81" s="149"/>
      <c r="D81" s="149"/>
      <c r="E81" s="149"/>
      <c r="F81" s="149"/>
      <c r="G81" s="149"/>
    </row>
    <row r="82" spans="1:7">
      <c r="A82" s="149"/>
      <c r="B82" s="149"/>
      <c r="C82" s="149"/>
      <c r="D82" s="149"/>
      <c r="E82" s="149"/>
      <c r="F82" s="149"/>
      <c r="G82" s="149"/>
    </row>
    <row r="83" spans="1:7">
      <c r="A83" s="149"/>
      <c r="B83" s="149"/>
      <c r="C83" s="149"/>
      <c r="D83" s="149"/>
      <c r="E83" s="149"/>
      <c r="F83" s="149"/>
      <c r="G83" s="149"/>
    </row>
    <row r="84" spans="1:7">
      <c r="A84" s="149"/>
      <c r="B84" s="149"/>
      <c r="C84" s="149"/>
      <c r="D84" s="149"/>
      <c r="E84" s="149"/>
      <c r="F84" s="149"/>
      <c r="G84" s="149"/>
    </row>
    <row r="85" spans="1:7">
      <c r="A85" s="149"/>
      <c r="B85" s="149"/>
      <c r="C85" s="149"/>
      <c r="D85" s="149"/>
      <c r="E85" s="149"/>
      <c r="F85" s="149"/>
      <c r="G85" s="149"/>
    </row>
    <row r="86" spans="1:7">
      <c r="A86" s="149"/>
      <c r="B86" s="149"/>
      <c r="C86" s="149"/>
      <c r="D86" s="149"/>
      <c r="E86" s="149"/>
      <c r="F86" s="149"/>
      <c r="G86" s="149"/>
    </row>
    <row r="87" spans="1:7">
      <c r="A87" s="149"/>
      <c r="B87" s="149"/>
      <c r="C87" s="149"/>
      <c r="D87" s="149"/>
      <c r="E87" s="149"/>
      <c r="F87" s="149"/>
      <c r="G87" s="149"/>
    </row>
    <row r="88" spans="1:7">
      <c r="A88" s="149"/>
      <c r="B88" s="149"/>
      <c r="C88" s="149"/>
      <c r="D88" s="149"/>
      <c r="E88" s="149"/>
      <c r="F88" s="149"/>
      <c r="G88" s="149"/>
    </row>
    <row r="89" spans="1:7">
      <c r="A89" s="149"/>
      <c r="B89" s="149"/>
      <c r="C89" s="149"/>
      <c r="D89" s="149"/>
      <c r="E89" s="149"/>
      <c r="F89" s="149"/>
      <c r="G89" s="149"/>
    </row>
    <row r="90" spans="1:7">
      <c r="A90" s="149"/>
      <c r="B90" s="149"/>
      <c r="C90" s="149"/>
      <c r="D90" s="149"/>
      <c r="E90" s="149"/>
      <c r="F90" s="149"/>
      <c r="G90" s="149"/>
    </row>
    <row r="91" spans="1:7">
      <c r="A91" s="149"/>
      <c r="B91" s="149"/>
      <c r="C91" s="149"/>
      <c r="D91" s="149"/>
      <c r="E91" s="149"/>
      <c r="F91" s="149"/>
      <c r="G91" s="149"/>
    </row>
    <row r="92" spans="1:7">
      <c r="A92" s="149"/>
      <c r="B92" s="149"/>
      <c r="C92" s="149"/>
      <c r="D92" s="149"/>
      <c r="E92" s="149"/>
      <c r="F92" s="149"/>
      <c r="G92" s="149"/>
    </row>
    <row r="93" spans="1:7">
      <c r="A93" s="149"/>
      <c r="B93" s="149"/>
      <c r="C93" s="149"/>
      <c r="D93" s="149"/>
      <c r="E93" s="149"/>
      <c r="F93" s="149"/>
      <c r="G93" s="149"/>
    </row>
    <row r="94" spans="1:7">
      <c r="A94" s="149"/>
      <c r="B94" s="149"/>
      <c r="C94" s="149"/>
      <c r="D94" s="149"/>
      <c r="E94" s="149"/>
      <c r="F94" s="149"/>
      <c r="G94" s="149"/>
    </row>
    <row r="95" spans="1:7">
      <c r="A95" s="149"/>
      <c r="B95" s="149"/>
      <c r="C95" s="149"/>
      <c r="D95" s="149"/>
      <c r="E95" s="149"/>
      <c r="F95" s="149"/>
      <c r="G95" s="149"/>
    </row>
    <row r="96" spans="1:7">
      <c r="A96" s="149"/>
      <c r="B96" s="149"/>
      <c r="C96" s="149"/>
      <c r="D96" s="149"/>
      <c r="E96" s="149"/>
      <c r="F96" s="149"/>
      <c r="G96" s="149"/>
    </row>
    <row r="97" spans="1:7">
      <c r="A97" s="149"/>
      <c r="B97" s="149"/>
      <c r="C97" s="149"/>
      <c r="D97" s="149"/>
      <c r="E97" s="149"/>
      <c r="F97" s="149"/>
      <c r="G97" s="149"/>
    </row>
    <row r="98" spans="1:7">
      <c r="A98" s="149"/>
      <c r="B98" s="149"/>
      <c r="C98" s="149"/>
      <c r="D98" s="149"/>
      <c r="E98" s="149"/>
      <c r="F98" s="149"/>
      <c r="G98" s="149"/>
    </row>
    <row r="99" spans="1:7">
      <c r="A99" s="149"/>
      <c r="B99" s="149"/>
      <c r="C99" s="149"/>
      <c r="D99" s="149"/>
      <c r="E99" s="149"/>
      <c r="F99" s="149"/>
      <c r="G99" s="149"/>
    </row>
    <row r="100" spans="1:7">
      <c r="A100" s="149"/>
      <c r="B100" s="149"/>
      <c r="C100" s="149"/>
      <c r="D100" s="149"/>
      <c r="E100" s="149"/>
      <c r="F100" s="149"/>
      <c r="G100" s="149"/>
    </row>
    <row r="101" spans="1:7">
      <c r="A101" s="149"/>
      <c r="B101" s="149"/>
      <c r="C101" s="149"/>
      <c r="D101" s="149"/>
      <c r="E101" s="149"/>
      <c r="F101" s="149"/>
      <c r="G101" s="149"/>
    </row>
    <row r="102" spans="1:7">
      <c r="A102" s="149"/>
      <c r="B102" s="149"/>
      <c r="C102" s="149"/>
      <c r="D102" s="149"/>
      <c r="E102" s="149"/>
      <c r="F102" s="149"/>
      <c r="G102" s="149"/>
    </row>
    <row r="103" spans="1:7">
      <c r="A103" s="149"/>
      <c r="B103" s="149"/>
      <c r="C103" s="149"/>
      <c r="D103" s="149"/>
      <c r="E103" s="149"/>
      <c r="F103" s="149"/>
      <c r="G103" s="149"/>
    </row>
    <row r="104" spans="1:7">
      <c r="A104" s="149"/>
      <c r="B104" s="149"/>
      <c r="C104" s="149"/>
      <c r="D104" s="149"/>
      <c r="E104" s="149"/>
      <c r="F104" s="149"/>
      <c r="G104" s="149"/>
    </row>
    <row r="105" spans="1:7">
      <c r="A105" s="149"/>
      <c r="B105" s="149"/>
      <c r="C105" s="149"/>
      <c r="D105" s="149"/>
      <c r="E105" s="149"/>
      <c r="F105" s="149"/>
      <c r="G105" s="149"/>
    </row>
    <row r="106" spans="1:7">
      <c r="A106" s="149"/>
      <c r="B106" s="149"/>
      <c r="C106" s="149"/>
      <c r="D106" s="149"/>
      <c r="E106" s="149"/>
      <c r="F106" s="149"/>
      <c r="G106" s="149"/>
    </row>
    <row r="107" spans="1:7">
      <c r="A107" s="149"/>
      <c r="B107" s="149"/>
      <c r="C107" s="149"/>
      <c r="D107" s="149"/>
      <c r="E107" s="149"/>
      <c r="F107" s="149"/>
      <c r="G107" s="149"/>
    </row>
    <row r="108" spans="1:7">
      <c r="A108" s="149"/>
      <c r="B108" s="149"/>
      <c r="C108" s="149"/>
      <c r="D108" s="149"/>
      <c r="E108" s="149"/>
      <c r="F108" s="149"/>
      <c r="G108" s="149"/>
    </row>
    <row r="109" spans="1:7">
      <c r="A109" s="149"/>
      <c r="B109" s="149"/>
      <c r="C109" s="149"/>
      <c r="D109" s="149"/>
      <c r="E109" s="149"/>
      <c r="F109" s="149"/>
      <c r="G109" s="149"/>
    </row>
    <row r="110" spans="1:7">
      <c r="A110" s="149"/>
      <c r="B110" s="149"/>
      <c r="C110" s="149"/>
      <c r="D110" s="149"/>
      <c r="E110" s="149"/>
      <c r="F110" s="149"/>
      <c r="G110" s="149"/>
    </row>
    <row r="111" spans="1:7">
      <c r="A111" s="149"/>
      <c r="B111" s="149"/>
      <c r="C111" s="149"/>
      <c r="D111" s="149"/>
      <c r="E111" s="149"/>
      <c r="F111" s="149"/>
      <c r="G111" s="149"/>
    </row>
    <row r="112" spans="1:7">
      <c r="A112" s="149"/>
      <c r="B112" s="149"/>
      <c r="C112" s="149"/>
      <c r="D112" s="149"/>
      <c r="E112" s="149"/>
      <c r="F112" s="149"/>
      <c r="G112" s="149"/>
    </row>
    <row r="113" spans="1:7">
      <c r="A113" s="149"/>
      <c r="B113" s="149"/>
      <c r="C113" s="149"/>
      <c r="D113" s="149"/>
      <c r="E113" s="149"/>
      <c r="F113" s="149"/>
      <c r="G113" s="149"/>
    </row>
    <row r="114" spans="1:7">
      <c r="A114" s="149"/>
      <c r="B114" s="149"/>
      <c r="C114" s="149"/>
      <c r="D114" s="149"/>
      <c r="E114" s="149"/>
      <c r="F114" s="149"/>
      <c r="G114" s="149"/>
    </row>
    <row r="115" spans="1:7">
      <c r="A115" s="149"/>
      <c r="B115" s="149"/>
      <c r="C115" s="149"/>
      <c r="D115" s="149"/>
      <c r="E115" s="149"/>
      <c r="F115" s="149"/>
      <c r="G115" s="149"/>
    </row>
    <row r="116" spans="1:7">
      <c r="A116" s="149"/>
      <c r="B116" s="149"/>
      <c r="C116" s="149"/>
      <c r="D116" s="149"/>
      <c r="E116" s="149"/>
      <c r="F116" s="149"/>
      <c r="G116" s="149"/>
    </row>
    <row r="117" spans="1:7">
      <c r="A117" s="149"/>
      <c r="B117" s="149"/>
      <c r="C117" s="149"/>
      <c r="D117" s="149"/>
      <c r="E117" s="149"/>
      <c r="F117" s="149"/>
      <c r="G117" s="149"/>
    </row>
    <row r="118" spans="1:7">
      <c r="A118" s="149"/>
      <c r="B118" s="149"/>
      <c r="C118" s="149"/>
      <c r="D118" s="149"/>
      <c r="E118" s="149"/>
      <c r="F118" s="149"/>
      <c r="G118" s="149"/>
    </row>
    <row r="119" spans="1:7">
      <c r="A119" s="149"/>
      <c r="B119" s="149"/>
      <c r="C119" s="149"/>
      <c r="D119" s="149"/>
      <c r="E119" s="149"/>
      <c r="F119" s="149"/>
      <c r="G119" s="149"/>
    </row>
    <row r="120" spans="1:7">
      <c r="A120" s="149"/>
      <c r="B120" s="149"/>
      <c r="C120" s="149"/>
      <c r="D120" s="149"/>
      <c r="E120" s="149"/>
      <c r="F120" s="149"/>
      <c r="G120" s="149"/>
    </row>
    <row r="121" spans="1:7">
      <c r="A121" s="149"/>
      <c r="B121" s="149"/>
      <c r="C121" s="149"/>
      <c r="D121" s="149"/>
      <c r="E121" s="149"/>
      <c r="F121" s="149"/>
      <c r="G121" s="149"/>
    </row>
    <row r="122" spans="1:7">
      <c r="A122" s="149"/>
      <c r="B122" s="149"/>
      <c r="C122" s="149"/>
      <c r="D122" s="149"/>
      <c r="E122" s="149"/>
      <c r="F122" s="149"/>
      <c r="G122" s="149"/>
    </row>
    <row r="123" spans="1:7">
      <c r="A123" s="149"/>
      <c r="B123" s="149"/>
      <c r="C123" s="149"/>
      <c r="D123" s="149"/>
      <c r="E123" s="149"/>
      <c r="F123" s="149"/>
      <c r="G123" s="149"/>
    </row>
    <row r="124" spans="1:7">
      <c r="A124" s="149"/>
      <c r="B124" s="149"/>
      <c r="C124" s="149"/>
      <c r="D124" s="149"/>
      <c r="E124" s="149"/>
      <c r="F124" s="149"/>
      <c r="G124" s="149"/>
    </row>
    <row r="125" spans="1:7">
      <c r="A125" s="149"/>
      <c r="B125" s="149"/>
      <c r="C125" s="149"/>
      <c r="D125" s="149"/>
      <c r="E125" s="149"/>
      <c r="F125" s="149"/>
      <c r="G125" s="149"/>
    </row>
    <row r="126" spans="1:7">
      <c r="A126" s="149"/>
      <c r="B126" s="149"/>
      <c r="C126" s="149"/>
      <c r="D126" s="149"/>
      <c r="E126" s="149"/>
      <c r="F126" s="149"/>
      <c r="G126" s="149"/>
    </row>
    <row r="127" spans="1:7">
      <c r="A127" s="149"/>
      <c r="B127" s="149"/>
      <c r="C127" s="149"/>
      <c r="D127" s="149"/>
      <c r="E127" s="149"/>
      <c r="F127" s="149"/>
      <c r="G127" s="149"/>
    </row>
    <row r="128" spans="1:7">
      <c r="A128" s="149"/>
      <c r="B128" s="149"/>
      <c r="C128" s="149"/>
      <c r="D128" s="149"/>
      <c r="E128" s="149"/>
      <c r="F128" s="149"/>
      <c r="G128" s="149"/>
    </row>
    <row r="129" spans="1:7">
      <c r="A129" s="149"/>
      <c r="B129" s="149"/>
      <c r="C129" s="149"/>
      <c r="D129" s="149"/>
      <c r="E129" s="149"/>
      <c r="F129" s="149"/>
      <c r="G129" s="149"/>
    </row>
    <row r="130" spans="1:7">
      <c r="A130" s="149"/>
      <c r="B130" s="149"/>
      <c r="C130" s="149"/>
      <c r="D130" s="149"/>
      <c r="E130" s="149"/>
      <c r="F130" s="149"/>
      <c r="G130" s="149"/>
    </row>
    <row r="131" spans="1:7">
      <c r="A131" s="149"/>
      <c r="B131" s="149"/>
      <c r="C131" s="149"/>
      <c r="D131" s="149"/>
      <c r="E131" s="149"/>
      <c r="F131" s="149"/>
      <c r="G131" s="149"/>
    </row>
    <row r="132" spans="1:7">
      <c r="A132" s="149"/>
      <c r="B132" s="149"/>
      <c r="C132" s="149"/>
      <c r="D132" s="149"/>
      <c r="E132" s="149"/>
      <c r="F132" s="149"/>
      <c r="G132" s="149"/>
    </row>
    <row r="133" spans="1:7">
      <c r="A133" s="149"/>
      <c r="B133" s="149"/>
      <c r="C133" s="149"/>
      <c r="D133" s="149"/>
      <c r="E133" s="149"/>
      <c r="F133" s="149"/>
      <c r="G133" s="149"/>
    </row>
    <row r="134" spans="1:7">
      <c r="A134" s="149"/>
      <c r="B134" s="149"/>
      <c r="C134" s="149"/>
      <c r="D134" s="149"/>
      <c r="E134" s="149"/>
      <c r="F134" s="149"/>
      <c r="G134" s="149"/>
    </row>
    <row r="135" spans="1:7">
      <c r="A135" s="149"/>
      <c r="B135" s="149"/>
      <c r="C135" s="149"/>
      <c r="D135" s="149"/>
      <c r="E135" s="149"/>
      <c r="F135" s="149"/>
      <c r="G135" s="149"/>
    </row>
    <row r="136" spans="1:7">
      <c r="A136" s="149"/>
      <c r="B136" s="149"/>
      <c r="C136" s="149"/>
      <c r="D136" s="149"/>
      <c r="E136" s="149"/>
      <c r="F136" s="149"/>
      <c r="G136" s="149"/>
    </row>
    <row r="137" spans="1:7">
      <c r="A137" s="149"/>
      <c r="B137" s="149"/>
      <c r="C137" s="149"/>
      <c r="D137" s="149"/>
      <c r="E137" s="149"/>
      <c r="F137" s="149"/>
      <c r="G137" s="149"/>
    </row>
    <row r="138" spans="1:7">
      <c r="A138" s="149"/>
      <c r="B138" s="149"/>
      <c r="C138" s="149"/>
      <c r="D138" s="149"/>
      <c r="E138" s="149"/>
      <c r="F138" s="149"/>
      <c r="G138" s="149"/>
    </row>
    <row r="139" spans="1:7">
      <c r="A139" s="149"/>
      <c r="B139" s="149"/>
      <c r="C139" s="149"/>
      <c r="D139" s="149"/>
      <c r="E139" s="149"/>
      <c r="F139" s="149"/>
      <c r="G139" s="149"/>
    </row>
    <row r="140" spans="1:7">
      <c r="A140" s="149"/>
      <c r="B140" s="149"/>
      <c r="C140" s="149"/>
      <c r="D140" s="149"/>
      <c r="E140" s="149"/>
      <c r="F140" s="149"/>
      <c r="G140" s="149"/>
    </row>
    <row r="141" spans="1:7">
      <c r="A141" s="149"/>
      <c r="B141" s="149"/>
      <c r="C141" s="149"/>
      <c r="D141" s="149"/>
      <c r="E141" s="149"/>
      <c r="F141" s="149"/>
      <c r="G141" s="149"/>
    </row>
    <row r="142" spans="1:7">
      <c r="A142" s="149"/>
      <c r="B142" s="149"/>
      <c r="C142" s="149"/>
      <c r="D142" s="149"/>
      <c r="E142" s="149"/>
      <c r="F142" s="149"/>
      <c r="G142" s="149"/>
    </row>
    <row r="143" spans="1:7">
      <c r="A143" s="149"/>
      <c r="B143" s="149"/>
      <c r="C143" s="149"/>
      <c r="D143" s="149"/>
      <c r="E143" s="149"/>
      <c r="F143" s="149"/>
      <c r="G143" s="149"/>
    </row>
    <row r="144" spans="1:7">
      <c r="A144" s="149"/>
      <c r="B144" s="149"/>
      <c r="C144" s="149"/>
      <c r="D144" s="149"/>
      <c r="E144" s="149"/>
      <c r="F144" s="149"/>
      <c r="G144" s="149"/>
    </row>
    <row r="145" spans="1:7">
      <c r="A145" s="149"/>
      <c r="B145" s="149"/>
      <c r="C145" s="149"/>
      <c r="D145" s="149"/>
      <c r="E145" s="149"/>
      <c r="F145" s="149"/>
      <c r="G145" s="149"/>
    </row>
    <row r="146" spans="1:7">
      <c r="A146" s="149"/>
      <c r="B146" s="149"/>
      <c r="C146" s="149"/>
      <c r="D146" s="149"/>
      <c r="E146" s="149"/>
      <c r="F146" s="149"/>
      <c r="G146" s="149"/>
    </row>
    <row r="147" spans="1:7">
      <c r="A147" s="149"/>
      <c r="B147" s="149"/>
      <c r="C147" s="149"/>
      <c r="D147" s="149"/>
      <c r="E147" s="149"/>
      <c r="F147" s="149"/>
      <c r="G147" s="149"/>
    </row>
    <row r="148" spans="1:7">
      <c r="A148" s="149"/>
      <c r="B148" s="149"/>
      <c r="C148" s="149"/>
      <c r="D148" s="149"/>
      <c r="E148" s="149"/>
      <c r="F148" s="149"/>
      <c r="G148" s="149"/>
    </row>
    <row r="149" spans="1:7">
      <c r="A149" s="149"/>
      <c r="B149" s="149"/>
      <c r="C149" s="149"/>
      <c r="D149" s="149"/>
      <c r="E149" s="149"/>
      <c r="F149" s="149"/>
      <c r="G149" s="149"/>
    </row>
    <row r="150" spans="1:7">
      <c r="A150" s="149"/>
      <c r="B150" s="149"/>
      <c r="C150" s="149"/>
      <c r="D150" s="149"/>
      <c r="E150" s="149"/>
      <c r="F150" s="149"/>
      <c r="G150" s="149"/>
    </row>
    <row r="151" spans="1:7">
      <c r="A151" s="149"/>
      <c r="B151" s="149"/>
      <c r="C151" s="149"/>
      <c r="D151" s="149"/>
      <c r="E151" s="149"/>
      <c r="F151" s="149"/>
      <c r="G151" s="149"/>
    </row>
    <row r="152" spans="1:7">
      <c r="A152" s="149"/>
      <c r="B152" s="149"/>
      <c r="C152" s="149"/>
      <c r="D152" s="149"/>
      <c r="E152" s="149"/>
      <c r="F152" s="149"/>
      <c r="G152" s="149"/>
    </row>
    <row r="153" spans="1:7">
      <c r="A153" s="149"/>
      <c r="B153" s="149"/>
      <c r="C153" s="149"/>
      <c r="D153" s="149"/>
      <c r="E153" s="149"/>
      <c r="F153" s="149"/>
      <c r="G153" s="149"/>
    </row>
    <row r="154" spans="1:7">
      <c r="A154" s="149"/>
      <c r="B154" s="149"/>
      <c r="C154" s="149"/>
      <c r="D154" s="149"/>
      <c r="E154" s="149"/>
      <c r="F154" s="149"/>
      <c r="G154" s="149"/>
    </row>
    <row r="155" spans="1:7">
      <c r="A155" s="149"/>
      <c r="B155" s="149"/>
      <c r="C155" s="149"/>
      <c r="D155" s="149"/>
      <c r="E155" s="149"/>
      <c r="F155" s="149"/>
      <c r="G155" s="149"/>
    </row>
    <row r="156" spans="1:7">
      <c r="A156" s="149"/>
      <c r="B156" s="149"/>
      <c r="C156" s="149"/>
      <c r="D156" s="149"/>
      <c r="E156" s="149"/>
      <c r="F156" s="149"/>
      <c r="G156" s="149"/>
    </row>
    <row r="157" spans="1:7">
      <c r="A157" s="149"/>
      <c r="B157" s="149"/>
      <c r="C157" s="149"/>
      <c r="D157" s="149"/>
      <c r="E157" s="149"/>
      <c r="F157" s="149"/>
      <c r="G157" s="149"/>
    </row>
    <row r="158" spans="1:7">
      <c r="A158" s="149"/>
      <c r="B158" s="149"/>
      <c r="C158" s="149"/>
      <c r="D158" s="149"/>
      <c r="E158" s="149"/>
      <c r="F158" s="149"/>
      <c r="G158" s="149"/>
    </row>
    <row r="159" spans="1:7">
      <c r="A159" s="149"/>
      <c r="B159" s="149"/>
      <c r="C159" s="149"/>
      <c r="D159" s="149"/>
      <c r="E159" s="149"/>
      <c r="F159" s="149"/>
      <c r="G159" s="149"/>
    </row>
    <row r="160" spans="1:7">
      <c r="A160" s="149"/>
      <c r="B160" s="149"/>
      <c r="C160" s="149"/>
      <c r="D160" s="149"/>
      <c r="E160" s="149"/>
      <c r="F160" s="149"/>
      <c r="G160" s="149"/>
    </row>
    <row r="161" spans="1:7">
      <c r="A161" s="149"/>
      <c r="B161" s="149"/>
      <c r="C161" s="149"/>
      <c r="D161" s="149"/>
      <c r="E161" s="149"/>
      <c r="F161" s="149"/>
      <c r="G161" s="149"/>
    </row>
    <row r="162" spans="1:7">
      <c r="A162" s="149"/>
      <c r="B162" s="149"/>
      <c r="C162" s="149"/>
      <c r="D162" s="149"/>
      <c r="E162" s="149"/>
      <c r="F162" s="149"/>
      <c r="G162" s="149"/>
    </row>
    <row r="163" spans="1:7">
      <c r="A163" s="149"/>
      <c r="B163" s="149"/>
      <c r="C163" s="149"/>
      <c r="D163" s="149"/>
      <c r="E163" s="149"/>
      <c r="F163" s="149"/>
      <c r="G163" s="149"/>
    </row>
    <row r="164" spans="1:7">
      <c r="A164" s="149"/>
      <c r="B164" s="149"/>
      <c r="C164" s="149"/>
      <c r="D164" s="149"/>
      <c r="E164" s="149"/>
      <c r="F164" s="149"/>
      <c r="G164" s="149"/>
    </row>
    <row r="165" spans="1:7">
      <c r="A165" s="149"/>
      <c r="B165" s="149"/>
      <c r="C165" s="149"/>
      <c r="D165" s="149"/>
      <c r="E165" s="149"/>
      <c r="F165" s="149"/>
      <c r="G165" s="149"/>
    </row>
    <row r="166" spans="1:7">
      <c r="A166" s="149"/>
      <c r="B166" s="149"/>
      <c r="C166" s="149"/>
      <c r="D166" s="149"/>
      <c r="E166" s="149"/>
      <c r="F166" s="149"/>
      <c r="G166" s="149"/>
    </row>
    <row r="167" spans="1:7">
      <c r="A167" s="149"/>
      <c r="B167" s="149"/>
      <c r="C167" s="149"/>
      <c r="D167" s="149"/>
      <c r="E167" s="149"/>
      <c r="F167" s="149"/>
      <c r="G167" s="149"/>
    </row>
    <row r="168" spans="1:7">
      <c r="A168" s="149"/>
      <c r="B168" s="149"/>
      <c r="C168" s="149"/>
      <c r="D168" s="149"/>
      <c r="E168" s="149"/>
      <c r="F168" s="149"/>
      <c r="G168" s="149"/>
    </row>
    <row r="169" spans="1:7">
      <c r="A169" s="149"/>
      <c r="B169" s="149"/>
      <c r="C169" s="149"/>
      <c r="D169" s="149"/>
      <c r="E169" s="149"/>
      <c r="F169" s="149"/>
      <c r="G169" s="149"/>
    </row>
    <row r="170" spans="1:7">
      <c r="A170" s="149"/>
      <c r="B170" s="149"/>
      <c r="C170" s="149"/>
      <c r="D170" s="149"/>
      <c r="E170" s="149"/>
      <c r="F170" s="149"/>
      <c r="G170" s="149"/>
    </row>
    <row r="171" spans="1:7">
      <c r="A171" s="149"/>
      <c r="B171" s="149"/>
      <c r="C171" s="149"/>
      <c r="D171" s="149"/>
      <c r="E171" s="149"/>
      <c r="F171" s="149"/>
      <c r="G171" s="149"/>
    </row>
    <row r="172" spans="1:7">
      <c r="A172" s="149"/>
      <c r="B172" s="149"/>
      <c r="C172" s="149"/>
      <c r="D172" s="149"/>
      <c r="E172" s="149"/>
      <c r="F172" s="149"/>
      <c r="G172" s="149"/>
    </row>
    <row r="173" spans="1:7">
      <c r="A173" s="149"/>
      <c r="B173" s="149"/>
      <c r="C173" s="149"/>
      <c r="D173" s="149"/>
      <c r="E173" s="149"/>
      <c r="F173" s="149"/>
      <c r="G173" s="149"/>
    </row>
    <row r="174" spans="1:7">
      <c r="A174" s="149"/>
      <c r="B174" s="149"/>
      <c r="C174" s="149"/>
      <c r="D174" s="149"/>
      <c r="E174" s="149"/>
      <c r="F174" s="149"/>
      <c r="G174" s="149"/>
    </row>
    <row r="175" spans="1:7">
      <c r="A175" s="149"/>
      <c r="B175" s="149"/>
      <c r="C175" s="149"/>
      <c r="D175" s="149"/>
      <c r="E175" s="149"/>
      <c r="F175" s="149"/>
      <c r="G175" s="149"/>
    </row>
  </sheetData>
  <mergeCells count="18">
    <mergeCell ref="B24:C24"/>
    <mergeCell ref="B25:C25"/>
    <mergeCell ref="B26:C26"/>
    <mergeCell ref="A30:G30"/>
    <mergeCell ref="A33:G33"/>
    <mergeCell ref="A32:G32"/>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 1 -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workbookViewId="0">
      <selection sqref="A1:B1"/>
    </sheetView>
  </sheetViews>
  <sheetFormatPr baseColWidth="10" defaultColWidth="11.42578125" defaultRowHeight="12.75"/>
  <cols>
    <col min="1" max="1" width="3.85546875" style="11" customWidth="1"/>
    <col min="2" max="2" width="82.140625" style="11" customWidth="1"/>
    <col min="3" max="3" width="5.140625" style="11" customWidth="1"/>
    <col min="4" max="4" width="11.42578125" style="1"/>
    <col min="5" max="26" width="1.7109375" style="1" customWidth="1"/>
    <col min="27" max="16384" width="11.42578125" style="1"/>
  </cols>
  <sheetData>
    <row r="1" spans="1:3">
      <c r="A1" s="276" t="s">
        <v>5</v>
      </c>
      <c r="B1" s="276"/>
    </row>
    <row r="2" spans="1:3">
      <c r="B2" s="14"/>
      <c r="C2" s="12" t="s">
        <v>8</v>
      </c>
    </row>
    <row r="3" spans="1:3">
      <c r="A3" s="15"/>
      <c r="C3" s="12"/>
    </row>
    <row r="4" spans="1:3">
      <c r="A4" s="16" t="s">
        <v>6</v>
      </c>
      <c r="C4" s="12">
        <v>4</v>
      </c>
    </row>
    <row r="5" spans="1:3">
      <c r="A5" s="15"/>
      <c r="C5" s="12"/>
    </row>
    <row r="6" spans="1:3">
      <c r="A6" s="202" t="s">
        <v>304</v>
      </c>
      <c r="B6" s="127"/>
      <c r="C6" s="128">
        <v>4</v>
      </c>
    </row>
    <row r="7" spans="1:3">
      <c r="A7" s="15"/>
      <c r="C7" s="12"/>
    </row>
    <row r="8" spans="1:3">
      <c r="A8" s="174" t="s">
        <v>102</v>
      </c>
      <c r="C8" s="12"/>
    </row>
    <row r="9" spans="1:3">
      <c r="A9" s="16"/>
      <c r="C9" s="12"/>
    </row>
    <row r="10" spans="1:3" ht="36" customHeight="1">
      <c r="A10" s="20" t="s">
        <v>11</v>
      </c>
      <c r="B10" s="172" t="s">
        <v>450</v>
      </c>
      <c r="C10" s="13">
        <v>6</v>
      </c>
    </row>
    <row r="11" spans="1:3">
      <c r="B11" s="18"/>
      <c r="C11" s="12"/>
    </row>
    <row r="12" spans="1:3" ht="36" customHeight="1">
      <c r="A12" s="20" t="s">
        <v>76</v>
      </c>
      <c r="B12" s="172" t="s">
        <v>451</v>
      </c>
      <c r="C12" s="13">
        <v>10</v>
      </c>
    </row>
    <row r="13" spans="1:3">
      <c r="A13" s="20"/>
      <c r="B13" s="25"/>
      <c r="C13" s="13"/>
    </row>
    <row r="14" spans="1:3" ht="24" customHeight="1">
      <c r="A14" s="26" t="s">
        <v>101</v>
      </c>
      <c r="B14" s="172" t="s">
        <v>473</v>
      </c>
      <c r="C14" s="13">
        <v>14</v>
      </c>
    </row>
    <row r="15" spans="1:3">
      <c r="A15" s="26"/>
      <c r="B15" s="25"/>
      <c r="C15" s="13"/>
    </row>
    <row r="16" spans="1:3" ht="22.5" customHeight="1">
      <c r="A16" s="26" t="s">
        <v>145</v>
      </c>
      <c r="B16" s="172" t="s">
        <v>452</v>
      </c>
      <c r="C16" s="13">
        <v>15</v>
      </c>
    </row>
    <row r="17" spans="1:3">
      <c r="B17" s="19"/>
      <c r="C17" s="12"/>
    </row>
    <row r="18" spans="1:3" ht="36" customHeight="1">
      <c r="A18" s="27" t="s">
        <v>146</v>
      </c>
      <c r="B18" s="172" t="s">
        <v>453</v>
      </c>
      <c r="C18" s="13">
        <v>16</v>
      </c>
    </row>
    <row r="19" spans="1:3">
      <c r="B19" s="15"/>
      <c r="C19" s="12"/>
    </row>
    <row r="20" spans="1:3">
      <c r="B20" s="15"/>
      <c r="C20" s="12"/>
    </row>
    <row r="21" spans="1:3">
      <c r="B21" s="15"/>
      <c r="C21" s="12"/>
    </row>
    <row r="22" spans="1:3">
      <c r="A22" s="275" t="s">
        <v>103</v>
      </c>
      <c r="B22" s="275"/>
      <c r="C22" s="12"/>
    </row>
    <row r="23" spans="1:3">
      <c r="A23" s="21"/>
      <c r="B23" s="21"/>
      <c r="C23" s="12"/>
    </row>
    <row r="24" spans="1:3" ht="24" customHeight="1">
      <c r="A24" s="20" t="s">
        <v>11</v>
      </c>
      <c r="B24" s="172" t="s">
        <v>474</v>
      </c>
      <c r="C24" s="13">
        <v>17</v>
      </c>
    </row>
    <row r="25" spans="1:3">
      <c r="B25" s="18"/>
      <c r="C25" s="12"/>
    </row>
    <row r="26" spans="1:3" ht="36" customHeight="1">
      <c r="A26" s="20" t="s">
        <v>76</v>
      </c>
      <c r="B26" s="172" t="s">
        <v>454</v>
      </c>
      <c r="C26" s="13">
        <v>18</v>
      </c>
    </row>
    <row r="27" spans="1:3">
      <c r="B27" s="18"/>
      <c r="C27" s="12"/>
    </row>
    <row r="28" spans="1:3" ht="36" customHeight="1">
      <c r="A28" s="20" t="s">
        <v>101</v>
      </c>
      <c r="B28" s="172" t="s">
        <v>455</v>
      </c>
      <c r="C28" s="13">
        <v>19</v>
      </c>
    </row>
    <row r="29" spans="1:3">
      <c r="B29" s="15"/>
      <c r="C29" s="12"/>
    </row>
    <row r="30" spans="1:3">
      <c r="B30" s="18"/>
      <c r="C30" s="12"/>
    </row>
    <row r="31" spans="1:3" ht="13.7" customHeight="1">
      <c r="B31" s="18"/>
      <c r="C31" s="12"/>
    </row>
    <row r="32" spans="1:3" ht="15.75" customHeight="1">
      <c r="B32" s="18"/>
      <c r="C32" s="12"/>
    </row>
    <row r="33" spans="1:3" ht="15.75" customHeight="1">
      <c r="A33" s="16"/>
      <c r="C33" s="12"/>
    </row>
    <row r="34" spans="1:3" ht="24.2" customHeight="1">
      <c r="B34" s="15"/>
      <c r="C34" s="12"/>
    </row>
    <row r="35" spans="1:3" ht="14.1" customHeight="1">
      <c r="B35" s="17"/>
      <c r="C35" s="12"/>
    </row>
    <row r="36" spans="1:3" ht="14.1" customHeight="1">
      <c r="B36" s="18"/>
      <c r="C36" s="12"/>
    </row>
    <row r="37" spans="1:3" ht="15.75" customHeight="1">
      <c r="B37" s="15"/>
      <c r="C37" s="12"/>
    </row>
    <row r="38" spans="1:3" ht="15.75" customHeight="1">
      <c r="B38" s="17"/>
      <c r="C38" s="12"/>
    </row>
    <row r="39" spans="1:3" ht="14.1" customHeight="1">
      <c r="B39" s="18"/>
      <c r="C39" s="13"/>
    </row>
    <row r="40" spans="1:3" ht="14.1" customHeight="1"/>
    <row r="41" spans="1:3" ht="14.1" customHeight="1"/>
    <row r="42" spans="1:3" ht="14.1" customHeight="1"/>
    <row r="43" spans="1:3">
      <c r="A43" s="15"/>
    </row>
    <row r="44" spans="1:3" ht="13.35" customHeight="1"/>
    <row r="45" spans="1:3" ht="15.75" customHeight="1"/>
    <row r="46" spans="1:3" ht="15.75" customHeight="1"/>
    <row r="47" spans="1:3" ht="13.7" customHeight="1"/>
    <row r="48" spans="1:3" ht="24.2" customHeight="1"/>
    <row r="49" spans="1:3" s="24" customFormat="1" ht="13.7" customHeight="1">
      <c r="A49" s="22"/>
      <c r="B49" s="23"/>
      <c r="C49" s="23"/>
    </row>
  </sheetData>
  <mergeCells count="2">
    <mergeCell ref="A22:B22"/>
    <mergeCell ref="A1:B1"/>
  </mergeCells>
  <conditionalFormatting sqref="A4:C28">
    <cfRule type="expression" dxfId="28"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4"/>
  <sheetViews>
    <sheetView zoomScaleNormal="100" workbookViewId="0"/>
  </sheetViews>
  <sheetFormatPr baseColWidth="10" defaultColWidth="11.28515625" defaultRowHeight="12.75"/>
  <cols>
    <col min="1" max="1" width="12.7109375" style="3" customWidth="1"/>
    <col min="2" max="2" width="76.42578125" style="3" customWidth="1"/>
    <col min="3" max="16384" width="11.28515625" style="3"/>
  </cols>
  <sheetData>
    <row r="11" spans="2:2" ht="16.899999999999999" customHeight="1">
      <c r="B11" s="129" t="s">
        <v>307</v>
      </c>
    </row>
    <row r="13" spans="2:2" ht="14.1" customHeight="1">
      <c r="B13" s="129" t="s">
        <v>308</v>
      </c>
    </row>
    <row r="14" spans="2:2" ht="14.1" customHeight="1"/>
    <row r="15" spans="2:2" ht="24.2" customHeight="1">
      <c r="B15" s="129" t="s">
        <v>309</v>
      </c>
    </row>
    <row r="16" spans="2:2" ht="14.1" customHeight="1"/>
    <row r="17" spans="1:2" ht="14.1" customHeight="1">
      <c r="B17" s="129" t="s">
        <v>310</v>
      </c>
    </row>
    <row r="18" spans="1:2" ht="14.1" customHeight="1"/>
    <row r="19" spans="1:2" ht="63.75">
      <c r="B19" s="129" t="s">
        <v>311</v>
      </c>
    </row>
    <row r="21" spans="1:2" ht="15.75" customHeight="1"/>
    <row r="22" spans="1:2" ht="15.75" customHeight="1"/>
    <row r="23" spans="1:2" ht="15.75" customHeight="1"/>
    <row r="24" spans="1:2" ht="15.75" customHeight="1"/>
    <row r="25" spans="1:2" ht="38.25">
      <c r="B25" s="129" t="s">
        <v>312</v>
      </c>
    </row>
    <row r="26" spans="1:2" ht="13.7" customHeight="1"/>
    <row r="27" spans="1:2" ht="15.75" customHeight="1">
      <c r="B27" s="129" t="s">
        <v>313</v>
      </c>
    </row>
    <row r="28" spans="1:2" ht="15.75" customHeight="1"/>
    <row r="29" spans="1:2" ht="24.2" customHeight="1">
      <c r="B29" s="129" t="s">
        <v>314</v>
      </c>
    </row>
    <row r="30" spans="1:2" ht="14.1" customHeight="1">
      <c r="A30" s="3" t="s">
        <v>306</v>
      </c>
    </row>
    <row r="31" spans="1:2" ht="14.1" customHeight="1"/>
    <row r="32" spans="1:2" ht="15.75" customHeight="1"/>
    <row r="33" spans="1:1" ht="15.75" customHeight="1"/>
    <row r="34" spans="1:1" ht="14.1" customHeight="1"/>
    <row r="35" spans="1:1" ht="14.1" customHeight="1"/>
    <row r="36" spans="1:1" ht="14.1" customHeight="1"/>
    <row r="37" spans="1:1" ht="14.1" customHeight="1"/>
    <row r="38" spans="1:1">
      <c r="A38" s="124"/>
    </row>
    <row r="39" spans="1:1" ht="13.35" customHeight="1"/>
    <row r="40" spans="1:1" ht="15.75" customHeight="1"/>
    <row r="41" spans="1:1" ht="15.75" customHeight="1"/>
    <row r="42" spans="1:1" ht="13.7" customHeight="1"/>
    <row r="43" spans="1:1" ht="24.2" customHeight="1"/>
    <row r="44" spans="1:1" s="126" customFormat="1" ht="13.7" customHeight="1">
      <c r="A44" s="125"/>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zoomScaleNormal="100" workbookViewId="0">
      <pane xSplit="2" ySplit="7" topLeftCell="C8" activePane="bottomRight" state="frozen"/>
      <selection pane="topRight"/>
      <selection pane="bottomLeft"/>
      <selection pane="bottomRight" sqref="A1:H2"/>
    </sheetView>
  </sheetViews>
  <sheetFormatPr baseColWidth="10" defaultColWidth="11.42578125" defaultRowHeight="12.75"/>
  <cols>
    <col min="1" max="1" width="5.28515625" style="36" customWidth="1"/>
    <col min="2" max="2" width="33.7109375" style="36" customWidth="1"/>
    <col min="3" max="4" width="7.5703125" style="37" customWidth="1"/>
    <col min="5" max="5" width="8.140625" style="37" customWidth="1"/>
    <col min="6" max="6" width="9.7109375" style="37" customWidth="1"/>
    <col min="7" max="7" width="10" style="37" bestFit="1" customWidth="1"/>
    <col min="8" max="8" width="9.7109375" style="37" customWidth="1"/>
    <col min="9" max="9" width="11.42578125" style="28"/>
    <col min="10" max="24" width="1.7109375" style="28" customWidth="1"/>
    <col min="25" max="16384" width="11.42578125" style="28"/>
  </cols>
  <sheetData>
    <row r="1" spans="1:8" ht="27.2" customHeight="1">
      <c r="A1" s="277" t="s">
        <v>457</v>
      </c>
      <c r="B1" s="277"/>
      <c r="C1" s="277"/>
      <c r="D1" s="277"/>
      <c r="E1" s="277"/>
      <c r="F1" s="277"/>
      <c r="G1" s="277"/>
      <c r="H1" s="277"/>
    </row>
    <row r="2" spans="1:8" ht="16.899999999999999" customHeight="1">
      <c r="A2" s="277"/>
      <c r="B2" s="277"/>
      <c r="C2" s="277"/>
      <c r="D2" s="277"/>
      <c r="E2" s="277"/>
      <c r="F2" s="277"/>
      <c r="G2" s="277"/>
      <c r="H2" s="277"/>
    </row>
    <row r="3" spans="1:8" ht="15">
      <c r="A3" s="29"/>
      <c r="B3" s="29"/>
      <c r="C3" s="30"/>
      <c r="D3" s="30"/>
      <c r="E3" s="30"/>
      <c r="F3" s="30"/>
      <c r="G3" s="30"/>
      <c r="H3" s="30"/>
    </row>
    <row r="4" spans="1:8" ht="16.899999999999999" customHeight="1">
      <c r="A4" s="283" t="s">
        <v>3</v>
      </c>
      <c r="B4" s="282" t="s">
        <v>0</v>
      </c>
      <c r="C4" s="55" t="s">
        <v>12</v>
      </c>
      <c r="D4" s="55"/>
      <c r="E4" s="56" t="s">
        <v>100</v>
      </c>
      <c r="F4" s="56"/>
      <c r="G4" s="56" t="s">
        <v>1</v>
      </c>
      <c r="H4" s="57"/>
    </row>
    <row r="5" spans="1:8" ht="51" customHeight="1">
      <c r="A5" s="283"/>
      <c r="B5" s="282"/>
      <c r="C5" s="281" t="s">
        <v>7</v>
      </c>
      <c r="D5" s="281"/>
      <c r="E5" s="281"/>
      <c r="F5" s="278" t="s">
        <v>277</v>
      </c>
      <c r="G5" s="280" t="s">
        <v>456</v>
      </c>
      <c r="H5" s="279" t="s">
        <v>277</v>
      </c>
    </row>
    <row r="6" spans="1:8" ht="16.899999999999999" customHeight="1">
      <c r="A6" s="283"/>
      <c r="B6" s="282"/>
      <c r="C6" s="58">
        <v>2016</v>
      </c>
      <c r="D6" s="59">
        <v>2015</v>
      </c>
      <c r="E6" s="59">
        <v>2016</v>
      </c>
      <c r="F6" s="278"/>
      <c r="G6" s="280"/>
      <c r="H6" s="279"/>
    </row>
    <row r="7" spans="1:8" s="31" customFormat="1" ht="16.899999999999999" customHeight="1">
      <c r="A7" s="283"/>
      <c r="B7" s="282"/>
      <c r="C7" s="56" t="s">
        <v>147</v>
      </c>
      <c r="D7" s="56"/>
      <c r="E7" s="56"/>
      <c r="F7" s="60" t="s">
        <v>75</v>
      </c>
      <c r="G7" s="59" t="s">
        <v>2</v>
      </c>
      <c r="H7" s="61" t="s">
        <v>75</v>
      </c>
    </row>
    <row r="8" spans="1:8" s="31" customFormat="1" ht="13.5">
      <c r="A8" s="46"/>
      <c r="B8" s="175"/>
      <c r="C8" s="48"/>
      <c r="D8" s="48"/>
      <c r="E8" s="48"/>
      <c r="F8" s="49"/>
      <c r="G8" s="46"/>
      <c r="H8" s="49"/>
    </row>
    <row r="9" spans="1:8" s="32" customFormat="1" ht="14.65" customHeight="1">
      <c r="A9" s="70" t="s">
        <v>16</v>
      </c>
      <c r="B9" s="62" t="s">
        <v>128</v>
      </c>
      <c r="C9" s="212">
        <v>33</v>
      </c>
      <c r="D9" s="212">
        <v>35</v>
      </c>
      <c r="E9" s="212">
        <v>630</v>
      </c>
      <c r="F9" s="213">
        <f>630/642*100-100</f>
        <v>-1.8691588785046775</v>
      </c>
      <c r="G9" s="212">
        <v>27085</v>
      </c>
      <c r="H9" s="213">
        <f>27085/26261*100-100</f>
        <v>3.1377327596054982</v>
      </c>
    </row>
    <row r="10" spans="1:8" s="33" customFormat="1" ht="14.65" customHeight="1">
      <c r="A10" s="70" t="s">
        <v>17</v>
      </c>
      <c r="B10" s="62" t="s">
        <v>129</v>
      </c>
      <c r="C10" s="212">
        <v>1</v>
      </c>
      <c r="D10" s="212">
        <v>1</v>
      </c>
      <c r="E10" s="212" t="s">
        <v>444</v>
      </c>
      <c r="F10" s="212" t="s">
        <v>444</v>
      </c>
      <c r="G10" s="212" t="s">
        <v>444</v>
      </c>
      <c r="H10" s="212" t="s">
        <v>444</v>
      </c>
    </row>
    <row r="11" spans="1:8" s="34" customFormat="1" ht="14.65" customHeight="1">
      <c r="A11" s="70" t="s">
        <v>18</v>
      </c>
      <c r="B11" s="62" t="s">
        <v>130</v>
      </c>
      <c r="C11" s="212">
        <v>32</v>
      </c>
      <c r="D11" s="212">
        <v>34</v>
      </c>
      <c r="E11" s="212">
        <v>533</v>
      </c>
      <c r="F11" s="212" t="s">
        <v>444</v>
      </c>
      <c r="G11" s="212">
        <v>18898</v>
      </c>
      <c r="H11" s="212" t="s">
        <v>444</v>
      </c>
    </row>
    <row r="12" spans="1:8" s="35" customFormat="1" ht="13.35" customHeight="1">
      <c r="A12" s="71" t="s">
        <v>148</v>
      </c>
      <c r="B12" s="63" t="s">
        <v>149</v>
      </c>
      <c r="C12" s="214">
        <v>30</v>
      </c>
      <c r="D12" s="214">
        <v>32</v>
      </c>
      <c r="E12" s="212">
        <v>451</v>
      </c>
      <c r="F12" s="212" t="s">
        <v>444</v>
      </c>
      <c r="G12" s="212">
        <v>14993</v>
      </c>
      <c r="H12" s="212" t="s">
        <v>444</v>
      </c>
    </row>
    <row r="13" spans="1:8" s="33" customFormat="1" ht="14.25" customHeight="1">
      <c r="A13" s="70" t="s">
        <v>19</v>
      </c>
      <c r="B13" s="64" t="s">
        <v>131</v>
      </c>
      <c r="C13" s="212">
        <v>1176</v>
      </c>
      <c r="D13" s="212">
        <v>1176</v>
      </c>
      <c r="E13" s="212">
        <v>123388</v>
      </c>
      <c r="F13" s="213">
        <f>123888/123219*100-100</f>
        <v>0.54293574854527549</v>
      </c>
      <c r="G13" s="212">
        <v>5652596</v>
      </c>
      <c r="H13" s="213">
        <f>5652596/5396642*100-100</f>
        <v>4.7428382316262656</v>
      </c>
    </row>
    <row r="14" spans="1:8" s="33" customFormat="1" ht="14.65" customHeight="1">
      <c r="A14" s="70" t="s">
        <v>20</v>
      </c>
      <c r="B14" s="64" t="s">
        <v>105</v>
      </c>
      <c r="C14" s="212">
        <v>241</v>
      </c>
      <c r="D14" s="212">
        <v>244</v>
      </c>
      <c r="E14" s="212">
        <v>20222</v>
      </c>
      <c r="F14" s="213">
        <f>20222/20213*100-100</f>
        <v>4.4525800227575019E-2</v>
      </c>
      <c r="G14" s="212">
        <v>626888</v>
      </c>
      <c r="H14" s="213">
        <f>626888/615195*100-100</f>
        <v>1.9006981526182898</v>
      </c>
    </row>
    <row r="15" spans="1:8" s="34" customFormat="1" ht="13.35" customHeight="1">
      <c r="A15" s="71" t="s">
        <v>21</v>
      </c>
      <c r="B15" s="65" t="s">
        <v>106</v>
      </c>
      <c r="C15" s="214">
        <v>48</v>
      </c>
      <c r="D15" s="214">
        <v>48</v>
      </c>
      <c r="E15" s="214">
        <v>3780</v>
      </c>
      <c r="F15" s="215">
        <f>3780/3760*100-100</f>
        <v>0.53191489361701372</v>
      </c>
      <c r="G15" s="214">
        <v>105339</v>
      </c>
      <c r="H15" s="215">
        <f>105339/102410*100-100</f>
        <v>2.8600722585685077</v>
      </c>
    </row>
    <row r="16" spans="1:8" s="34" customFormat="1" ht="13.35" customHeight="1">
      <c r="A16" s="71" t="s">
        <v>150</v>
      </c>
      <c r="B16" s="65" t="s">
        <v>151</v>
      </c>
      <c r="C16" s="214">
        <v>16</v>
      </c>
      <c r="D16" s="214">
        <v>15</v>
      </c>
      <c r="E16" s="212">
        <v>746</v>
      </c>
      <c r="F16" s="212" t="s">
        <v>444</v>
      </c>
      <c r="G16" s="212">
        <v>20116</v>
      </c>
      <c r="H16" s="212" t="s">
        <v>444</v>
      </c>
    </row>
    <row r="17" spans="1:8" s="34" customFormat="1" ht="13.35" customHeight="1">
      <c r="A17" s="71" t="s">
        <v>152</v>
      </c>
      <c r="B17" s="65" t="s">
        <v>153</v>
      </c>
      <c r="C17" s="214">
        <v>31</v>
      </c>
      <c r="D17" s="214">
        <v>32</v>
      </c>
      <c r="E17" s="214">
        <v>3002</v>
      </c>
      <c r="F17" s="215">
        <f>3002/3073*100-100</f>
        <v>-2.3104458184184864</v>
      </c>
      <c r="G17" s="214">
        <v>84281</v>
      </c>
      <c r="H17" s="215">
        <f>84281/84273*100-100</f>
        <v>9.4929574122204485E-3</v>
      </c>
    </row>
    <row r="18" spans="1:8" s="33" customFormat="1" ht="13.35" customHeight="1">
      <c r="A18" s="71" t="s">
        <v>154</v>
      </c>
      <c r="B18" s="65" t="s">
        <v>155</v>
      </c>
      <c r="C18" s="214">
        <v>8</v>
      </c>
      <c r="D18" s="214">
        <v>8</v>
      </c>
      <c r="E18" s="214">
        <v>820</v>
      </c>
      <c r="F18" s="215">
        <f>820/866*100-100</f>
        <v>-5.3117782909930753</v>
      </c>
      <c r="G18" s="214">
        <v>21210</v>
      </c>
      <c r="H18" s="215">
        <f>21210/21584*100-100</f>
        <v>-1.7327650111193549</v>
      </c>
    </row>
    <row r="19" spans="1:8" s="35" customFormat="1" ht="13.35" customHeight="1">
      <c r="A19" s="71" t="s">
        <v>156</v>
      </c>
      <c r="B19" s="65" t="s">
        <v>157</v>
      </c>
      <c r="C19" s="214">
        <v>12</v>
      </c>
      <c r="D19" s="214">
        <v>12</v>
      </c>
      <c r="E19" s="214">
        <v>1517</v>
      </c>
      <c r="F19" s="215">
        <f>1517/1489*100-100</f>
        <v>1.8804566823371403</v>
      </c>
      <c r="G19" s="214">
        <v>59403</v>
      </c>
      <c r="H19" s="215">
        <f>59403/54666*100-100</f>
        <v>8.6653495774338722</v>
      </c>
    </row>
    <row r="20" spans="1:8" s="34" customFormat="1" ht="13.35" customHeight="1">
      <c r="A20" s="71" t="s">
        <v>158</v>
      </c>
      <c r="B20" s="65" t="s">
        <v>159</v>
      </c>
      <c r="C20" s="214">
        <v>10</v>
      </c>
      <c r="D20" s="214">
        <v>9</v>
      </c>
      <c r="E20" s="214">
        <v>968</v>
      </c>
      <c r="F20" s="215">
        <f>968/962*100-100</f>
        <v>0.6237006237006284</v>
      </c>
      <c r="G20" s="214">
        <v>41320</v>
      </c>
      <c r="H20" s="215">
        <f>41320/38309*100-100</f>
        <v>7.8597718551776268</v>
      </c>
    </row>
    <row r="21" spans="1:8" s="34" customFormat="1" ht="13.35" customHeight="1">
      <c r="A21" s="71" t="s">
        <v>160</v>
      </c>
      <c r="B21" s="65" t="s">
        <v>161</v>
      </c>
      <c r="C21" s="214">
        <v>10</v>
      </c>
      <c r="D21" s="214">
        <v>9</v>
      </c>
      <c r="E21" s="214">
        <v>968</v>
      </c>
      <c r="F21" s="215">
        <f>968/962*100-100</f>
        <v>0.6237006237006284</v>
      </c>
      <c r="G21" s="214">
        <v>41320</v>
      </c>
      <c r="H21" s="215">
        <f>41320/38309*100-100</f>
        <v>7.8597718551776268</v>
      </c>
    </row>
    <row r="22" spans="1:8" s="34" customFormat="1" ht="13.35" customHeight="1">
      <c r="A22" s="71" t="s">
        <v>22</v>
      </c>
      <c r="B22" s="65" t="s">
        <v>107</v>
      </c>
      <c r="C22" s="214">
        <v>110</v>
      </c>
      <c r="D22" s="214">
        <v>112</v>
      </c>
      <c r="E22" s="214">
        <v>6463</v>
      </c>
      <c r="F22" s="215">
        <f>6463/6347*100-100</f>
        <v>1.8276351031983609</v>
      </c>
      <c r="G22" s="214">
        <v>165489</v>
      </c>
      <c r="H22" s="215">
        <f>165489/158983*100-100</f>
        <v>4.0922614367573829</v>
      </c>
    </row>
    <row r="23" spans="1:8" s="34" customFormat="1" ht="13.35" customHeight="1">
      <c r="A23" s="71" t="s">
        <v>23</v>
      </c>
      <c r="B23" s="66" t="s">
        <v>108</v>
      </c>
      <c r="C23" s="214">
        <v>31</v>
      </c>
      <c r="D23" s="214">
        <v>33</v>
      </c>
      <c r="E23" s="214">
        <v>4215</v>
      </c>
      <c r="F23" s="215">
        <f>4215/4367*100-100</f>
        <v>-3.4806503320357223</v>
      </c>
      <c r="G23" s="214">
        <v>144442</v>
      </c>
      <c r="H23" s="215">
        <f>144442/154764*100-100</f>
        <v>-6.6695097050993724</v>
      </c>
    </row>
    <row r="24" spans="1:8" s="34" customFormat="1" ht="13.35" customHeight="1">
      <c r="A24" s="71" t="s">
        <v>162</v>
      </c>
      <c r="B24" s="65" t="s">
        <v>163</v>
      </c>
      <c r="C24" s="214">
        <v>15</v>
      </c>
      <c r="D24" s="214">
        <v>15</v>
      </c>
      <c r="E24" s="214">
        <v>2426</v>
      </c>
      <c r="F24" s="215">
        <f>2426/2326*100-100</f>
        <v>4.299226139294916</v>
      </c>
      <c r="G24" s="214">
        <v>67088</v>
      </c>
      <c r="H24" s="215">
        <f>67088/63227*100-100</f>
        <v>6.1065683964129249</v>
      </c>
    </row>
    <row r="25" spans="1:8" s="35" customFormat="1" ht="13.35" customHeight="1">
      <c r="A25" s="71" t="s">
        <v>164</v>
      </c>
      <c r="B25" s="65" t="s">
        <v>281</v>
      </c>
      <c r="C25" s="214">
        <v>12</v>
      </c>
      <c r="D25" s="214">
        <v>14</v>
      </c>
      <c r="E25" s="214">
        <v>1016</v>
      </c>
      <c r="F25" s="215">
        <f>1016/1261*100-100</f>
        <v>-19.429024583663761</v>
      </c>
      <c r="G25" s="214">
        <v>40703</v>
      </c>
      <c r="H25" s="215">
        <f>40703/51496*100-100</f>
        <v>-20.958909429858636</v>
      </c>
    </row>
    <row r="26" spans="1:8" s="34" customFormat="1" ht="13.35" customHeight="1">
      <c r="A26" s="71" t="s">
        <v>165</v>
      </c>
      <c r="B26" s="65" t="s">
        <v>166</v>
      </c>
      <c r="C26" s="214">
        <v>16</v>
      </c>
      <c r="D26" s="214">
        <v>16</v>
      </c>
      <c r="E26" s="214">
        <v>1050</v>
      </c>
      <c r="F26" s="215">
        <f>1050/1061*100-100</f>
        <v>-1.0367577756833128</v>
      </c>
      <c r="G26" s="214">
        <v>31885</v>
      </c>
      <c r="H26" s="215">
        <f>31885/30539*100-100</f>
        <v>4.4074789613281382</v>
      </c>
    </row>
    <row r="27" spans="1:8" s="34" customFormat="1" ht="13.35" customHeight="1">
      <c r="A27" s="71" t="s">
        <v>167</v>
      </c>
      <c r="B27" s="65" t="s">
        <v>168</v>
      </c>
      <c r="C27" s="214">
        <v>13</v>
      </c>
      <c r="D27" s="214">
        <v>13</v>
      </c>
      <c r="E27" s="214">
        <v>864</v>
      </c>
      <c r="F27" s="251">
        <f>864/859*100-100</f>
        <v>0.58207217694994995</v>
      </c>
      <c r="G27" s="214">
        <v>28071</v>
      </c>
      <c r="H27" s="251">
        <f>28071/27116*100-100</f>
        <v>3.5219058858238554</v>
      </c>
    </row>
    <row r="28" spans="1:8" s="33" customFormat="1" ht="14.65" customHeight="1">
      <c r="A28" s="70" t="s">
        <v>24</v>
      </c>
      <c r="B28" s="64" t="s">
        <v>109</v>
      </c>
      <c r="C28" s="212">
        <v>13</v>
      </c>
      <c r="D28" s="212">
        <v>13</v>
      </c>
      <c r="E28" s="212">
        <v>1226</v>
      </c>
      <c r="F28" s="213">
        <f>1226/1174*100-100</f>
        <v>4.4293015332197712</v>
      </c>
      <c r="G28" s="212">
        <v>51172</v>
      </c>
      <c r="H28" s="213">
        <f>51172/50655*100-100</f>
        <v>1.0206297502714392</v>
      </c>
    </row>
    <row r="29" spans="1:8" s="34" customFormat="1" ht="27">
      <c r="A29" s="52" t="s">
        <v>169</v>
      </c>
      <c r="B29" s="65" t="s">
        <v>384</v>
      </c>
      <c r="C29" s="214">
        <v>9</v>
      </c>
      <c r="D29" s="214">
        <v>9</v>
      </c>
      <c r="E29" s="214">
        <v>791</v>
      </c>
      <c r="F29" s="215">
        <f>791/739*100-100</f>
        <v>7.0365358592692928</v>
      </c>
      <c r="G29" s="214">
        <v>30297</v>
      </c>
      <c r="H29" s="215">
        <f>30297/30149*100-100</f>
        <v>0.49089522040533495</v>
      </c>
    </row>
    <row r="30" spans="1:8" s="33" customFormat="1" ht="14.65" customHeight="1">
      <c r="A30" s="70" t="s">
        <v>25</v>
      </c>
      <c r="B30" s="64" t="s">
        <v>73</v>
      </c>
      <c r="C30" s="212">
        <v>2</v>
      </c>
      <c r="D30" s="212">
        <v>1</v>
      </c>
      <c r="E30" s="212" t="s">
        <v>444</v>
      </c>
      <c r="F30" s="212" t="s">
        <v>444</v>
      </c>
      <c r="G30" s="212" t="s">
        <v>444</v>
      </c>
      <c r="H30" s="212" t="s">
        <v>444</v>
      </c>
    </row>
    <row r="31" spans="1:8" s="33" customFormat="1" ht="14.65" customHeight="1">
      <c r="A31" s="70" t="s">
        <v>138</v>
      </c>
      <c r="B31" s="64" t="s">
        <v>170</v>
      </c>
      <c r="C31" s="212">
        <v>7</v>
      </c>
      <c r="D31" s="212">
        <v>7</v>
      </c>
      <c r="E31" s="212">
        <v>518</v>
      </c>
      <c r="F31" s="213">
        <f>518/484*100-100</f>
        <v>7.0247933884297566</v>
      </c>
      <c r="G31" s="212">
        <v>18856</v>
      </c>
      <c r="H31" s="213">
        <f>18856/17380*100-100</f>
        <v>8.492520138089759</v>
      </c>
    </row>
    <row r="32" spans="1:8" s="34" customFormat="1" ht="13.35" customHeight="1">
      <c r="A32" s="71" t="s">
        <v>171</v>
      </c>
      <c r="B32" s="65" t="s">
        <v>172</v>
      </c>
      <c r="C32" s="214">
        <v>6</v>
      </c>
      <c r="D32" s="214">
        <v>6</v>
      </c>
      <c r="E32" s="212">
        <v>395</v>
      </c>
      <c r="F32" s="212" t="s">
        <v>444</v>
      </c>
      <c r="G32" s="212">
        <v>13457</v>
      </c>
      <c r="H32" s="212" t="s">
        <v>444</v>
      </c>
    </row>
    <row r="33" spans="1:8" s="34" customFormat="1" ht="27">
      <c r="A33" s="52" t="s">
        <v>173</v>
      </c>
      <c r="B33" s="65" t="s">
        <v>385</v>
      </c>
      <c r="C33" s="214">
        <v>3</v>
      </c>
      <c r="D33" s="214">
        <v>3</v>
      </c>
      <c r="E33" s="214">
        <v>217</v>
      </c>
      <c r="F33" s="215">
        <f>217/196*100-100</f>
        <v>10.714285714285722</v>
      </c>
      <c r="G33" s="214">
        <v>6343</v>
      </c>
      <c r="H33" s="215">
        <f>6343/5653*100-100</f>
        <v>12.205908367238621</v>
      </c>
    </row>
    <row r="34" spans="1:8" s="33" customFormat="1" ht="14.65" customHeight="1">
      <c r="A34" s="70" t="s">
        <v>174</v>
      </c>
      <c r="B34" s="64" t="s">
        <v>175</v>
      </c>
      <c r="C34" s="212">
        <v>3</v>
      </c>
      <c r="D34" s="212">
        <v>3</v>
      </c>
      <c r="E34" s="212">
        <v>265</v>
      </c>
      <c r="F34" s="251">
        <f>265/270*100-100</f>
        <v>-1.8518518518518476</v>
      </c>
      <c r="G34" s="212">
        <v>7990</v>
      </c>
      <c r="H34" s="251">
        <f>7990/7592*100-100</f>
        <v>5.2423603793466924</v>
      </c>
    </row>
    <row r="35" spans="1:8" s="33" customFormat="1" ht="27">
      <c r="A35" s="50" t="s">
        <v>26</v>
      </c>
      <c r="B35" s="64" t="s">
        <v>398</v>
      </c>
      <c r="C35" s="212">
        <v>21</v>
      </c>
      <c r="D35" s="212">
        <v>22</v>
      </c>
      <c r="E35" s="212">
        <v>946</v>
      </c>
      <c r="F35" s="213">
        <f>946/986*100-100</f>
        <v>-4.0567951318458455</v>
      </c>
      <c r="G35" s="212">
        <v>28855</v>
      </c>
      <c r="H35" s="213">
        <f>28855/28180*100-100</f>
        <v>2.3953158268275274</v>
      </c>
    </row>
    <row r="36" spans="1:8" s="35" customFormat="1" ht="13.35" customHeight="1">
      <c r="A36" s="71" t="s">
        <v>176</v>
      </c>
      <c r="B36" s="65" t="s">
        <v>177</v>
      </c>
      <c r="C36" s="214">
        <v>4</v>
      </c>
      <c r="D36" s="214">
        <v>4</v>
      </c>
      <c r="E36" s="214">
        <v>223</v>
      </c>
      <c r="F36" s="215">
        <f>223/224*100-100</f>
        <v>-0.4464285714285694</v>
      </c>
      <c r="G36" s="214">
        <v>6647</v>
      </c>
      <c r="H36" s="215">
        <f>6647/6636*100-100</f>
        <v>0.16576250753466582</v>
      </c>
    </row>
    <row r="37" spans="1:8" s="34" customFormat="1" ht="27">
      <c r="A37" s="52" t="s">
        <v>178</v>
      </c>
      <c r="B37" s="65" t="s">
        <v>399</v>
      </c>
      <c r="C37" s="214">
        <v>17</v>
      </c>
      <c r="D37" s="214">
        <v>18</v>
      </c>
      <c r="E37" s="214">
        <v>723</v>
      </c>
      <c r="F37" s="215">
        <f>723/762*100-100</f>
        <v>-5.118110236220474</v>
      </c>
      <c r="G37" s="214">
        <v>22208</v>
      </c>
      <c r="H37" s="215">
        <f>22208/21544*100-100</f>
        <v>3.0820646119569233</v>
      </c>
    </row>
    <row r="38" spans="1:8" s="35" customFormat="1" ht="27">
      <c r="A38" s="52" t="s">
        <v>179</v>
      </c>
      <c r="B38" s="65" t="s">
        <v>388</v>
      </c>
      <c r="C38" s="214">
        <v>12</v>
      </c>
      <c r="D38" s="214">
        <v>12</v>
      </c>
      <c r="E38" s="214">
        <v>490</v>
      </c>
      <c r="F38" s="215">
        <f>490/515*100-100</f>
        <v>-4.8543689320388381</v>
      </c>
      <c r="G38" s="214">
        <v>15258</v>
      </c>
      <c r="H38" s="215">
        <f>15258/14754*100-100</f>
        <v>3.4160227734851674</v>
      </c>
    </row>
    <row r="39" spans="1:8" s="33" customFormat="1" ht="14.65" customHeight="1">
      <c r="A39" s="70" t="s">
        <v>27</v>
      </c>
      <c r="B39" s="67" t="s">
        <v>110</v>
      </c>
      <c r="C39" s="212">
        <v>35</v>
      </c>
      <c r="D39" s="212">
        <v>36</v>
      </c>
      <c r="E39" s="212">
        <v>4276</v>
      </c>
      <c r="F39" s="213">
        <f>4276/4359*100-100</f>
        <v>-1.9041064464326638</v>
      </c>
      <c r="G39" s="212">
        <v>172635</v>
      </c>
      <c r="H39" s="213">
        <f>172635/177752*100-100</f>
        <v>-2.8787299158377948</v>
      </c>
    </row>
    <row r="40" spans="1:8" s="34" customFormat="1" ht="13.35" customHeight="1">
      <c r="A40" s="71" t="s">
        <v>180</v>
      </c>
      <c r="B40" s="65" t="s">
        <v>181</v>
      </c>
      <c r="C40" s="214">
        <v>7</v>
      </c>
      <c r="D40" s="214">
        <v>7</v>
      </c>
      <c r="E40" s="214">
        <v>1219</v>
      </c>
      <c r="F40" s="215">
        <f>1219/1210*100-100</f>
        <v>0.74380165289255729</v>
      </c>
      <c r="G40" s="214">
        <v>58493</v>
      </c>
      <c r="H40" s="215"/>
    </row>
    <row r="41" spans="1:8" s="34" customFormat="1" ht="13.35" customHeight="1">
      <c r="A41" s="71" t="s">
        <v>182</v>
      </c>
      <c r="B41" s="65" t="s">
        <v>183</v>
      </c>
      <c r="C41" s="214">
        <v>28</v>
      </c>
      <c r="D41" s="214">
        <v>29</v>
      </c>
      <c r="E41" s="214">
        <v>3057</v>
      </c>
      <c r="F41" s="215">
        <f>3057/3149*100-100</f>
        <v>-2.9215624007621415</v>
      </c>
      <c r="G41" s="214">
        <v>114142</v>
      </c>
      <c r="H41" s="215">
        <f>114142/119283*100-100</f>
        <v>-4.3099184292816233</v>
      </c>
    </row>
    <row r="42" spans="1:8" s="34" customFormat="1" ht="24.6" customHeight="1">
      <c r="A42" s="52" t="s">
        <v>184</v>
      </c>
      <c r="B42" s="65" t="s">
        <v>389</v>
      </c>
      <c r="C42" s="214">
        <v>17</v>
      </c>
      <c r="D42" s="214">
        <v>18</v>
      </c>
      <c r="E42" s="214">
        <v>1413</v>
      </c>
      <c r="F42" s="215">
        <f>1413/1590*100-100</f>
        <v>-11.132075471698116</v>
      </c>
      <c r="G42" s="214">
        <v>59698</v>
      </c>
      <c r="H42" s="215">
        <f>59698/66169*100-100</f>
        <v>-9.779503997340143</v>
      </c>
    </row>
    <row r="43" spans="1:8" s="33" customFormat="1" ht="27">
      <c r="A43" s="50" t="s">
        <v>28</v>
      </c>
      <c r="B43" s="64" t="s">
        <v>400</v>
      </c>
      <c r="C43" s="212">
        <v>46</v>
      </c>
      <c r="D43" s="212">
        <v>45</v>
      </c>
      <c r="E43" s="212">
        <v>3734</v>
      </c>
      <c r="F43" s="213">
        <f>3734/3707*100-100</f>
        <v>0.72835176692743175</v>
      </c>
      <c r="G43" s="212">
        <v>152053</v>
      </c>
      <c r="H43" s="213">
        <f>152053/153402*100-100</f>
        <v>-0.87938879545247062</v>
      </c>
    </row>
    <row r="44" spans="1:8" s="34" customFormat="1" ht="13.35" customHeight="1">
      <c r="A44" s="71" t="s">
        <v>185</v>
      </c>
      <c r="B44" s="65" t="s">
        <v>186</v>
      </c>
      <c r="C44" s="214">
        <v>46</v>
      </c>
      <c r="D44" s="214">
        <v>45</v>
      </c>
      <c r="E44" s="214">
        <v>3734</v>
      </c>
      <c r="F44" s="213">
        <f>3734/3707*100-100</f>
        <v>0.72835176692743175</v>
      </c>
      <c r="G44" s="214">
        <v>152053</v>
      </c>
      <c r="H44" s="213">
        <f>152053/153402*100-100</f>
        <v>-0.87938879545247062</v>
      </c>
    </row>
    <row r="45" spans="1:8" s="33" customFormat="1" ht="13.35" customHeight="1">
      <c r="A45" s="71" t="s">
        <v>187</v>
      </c>
      <c r="B45" s="65" t="s">
        <v>280</v>
      </c>
      <c r="C45" s="214">
        <v>33</v>
      </c>
      <c r="D45" s="214">
        <v>33</v>
      </c>
      <c r="E45" s="214">
        <v>2876</v>
      </c>
      <c r="F45" s="215">
        <f>2876/3050*100-100</f>
        <v>-5.7049180327868925</v>
      </c>
      <c r="G45" s="214">
        <v>111796</v>
      </c>
      <c r="H45" s="215">
        <f>111769/127701*100-100</f>
        <v>-12.476018198761167</v>
      </c>
    </row>
    <row r="46" spans="1:8" s="34" customFormat="1" ht="27">
      <c r="A46" s="52" t="s">
        <v>188</v>
      </c>
      <c r="B46" s="65" t="s">
        <v>391</v>
      </c>
      <c r="C46" s="214">
        <v>5</v>
      </c>
      <c r="D46" s="214">
        <v>5</v>
      </c>
      <c r="E46" s="214">
        <v>273</v>
      </c>
      <c r="F46" s="215">
        <f>273/306*100-100</f>
        <v>-10.784313725490193</v>
      </c>
      <c r="G46" s="214">
        <v>10020</v>
      </c>
      <c r="H46" s="215">
        <f>10020/9737*100-100</f>
        <v>2.9064393550374916</v>
      </c>
    </row>
    <row r="47" spans="1:8" s="33" customFormat="1" ht="13.5">
      <c r="A47" s="70" t="s">
        <v>29</v>
      </c>
      <c r="B47" s="67" t="s">
        <v>111</v>
      </c>
      <c r="C47" s="212">
        <v>4</v>
      </c>
      <c r="D47" s="212">
        <v>5</v>
      </c>
      <c r="E47" s="212">
        <v>848</v>
      </c>
      <c r="F47" s="213">
        <f>848/886*100-100</f>
        <v>-4.2889390519187316</v>
      </c>
      <c r="G47" s="212">
        <v>58684</v>
      </c>
      <c r="H47" s="213">
        <f>58684/58482*100-100</f>
        <v>0.34540542389112261</v>
      </c>
    </row>
    <row r="48" spans="1:8" s="33" customFormat="1" ht="13.5">
      <c r="A48" s="70" t="s">
        <v>30</v>
      </c>
      <c r="B48" s="64" t="s">
        <v>112</v>
      </c>
      <c r="C48" s="212">
        <v>46</v>
      </c>
      <c r="D48" s="212">
        <v>44</v>
      </c>
      <c r="E48" s="212">
        <v>5990</v>
      </c>
      <c r="F48" s="213">
        <f>5990/5735*100-100</f>
        <v>4.4463818657367113</v>
      </c>
      <c r="G48" s="212">
        <v>325778</v>
      </c>
      <c r="H48" s="213">
        <f>325778/301791*100-100</f>
        <v>7.9482158182318159</v>
      </c>
    </row>
    <row r="49" spans="1:8" s="34" customFormat="1" ht="54">
      <c r="A49" s="52" t="s">
        <v>31</v>
      </c>
      <c r="B49" s="65" t="s">
        <v>401</v>
      </c>
      <c r="C49" s="214">
        <v>16</v>
      </c>
      <c r="D49" s="214">
        <v>16</v>
      </c>
      <c r="E49" s="214">
        <v>2747</v>
      </c>
      <c r="F49" s="215">
        <f>2747/2697*100-100</f>
        <v>1.8539117538005172</v>
      </c>
      <c r="G49" s="214">
        <v>165700</v>
      </c>
      <c r="H49" s="215">
        <f>165700/158090*100-100</f>
        <v>4.813713707381865</v>
      </c>
    </row>
    <row r="50" spans="1:8" s="34" customFormat="1" ht="13.5">
      <c r="A50" s="71" t="s">
        <v>189</v>
      </c>
      <c r="B50" s="65" t="s">
        <v>190</v>
      </c>
      <c r="C50" s="214">
        <v>3</v>
      </c>
      <c r="D50" s="214">
        <v>3</v>
      </c>
      <c r="E50" s="214">
        <v>430</v>
      </c>
      <c r="F50" s="215">
        <f>430/427*100-100</f>
        <v>0.70257611241217433</v>
      </c>
      <c r="G50" s="214">
        <v>25575</v>
      </c>
      <c r="H50" s="215">
        <f>25575/23867*100-100</f>
        <v>7.1563246323375296</v>
      </c>
    </row>
    <row r="51" spans="1:8" s="34" customFormat="1" ht="13.5">
      <c r="A51" s="71" t="s">
        <v>191</v>
      </c>
      <c r="B51" s="65" t="s">
        <v>192</v>
      </c>
      <c r="C51" s="214">
        <v>7</v>
      </c>
      <c r="D51" s="214">
        <v>7</v>
      </c>
      <c r="E51" s="214">
        <v>484</v>
      </c>
      <c r="F51" s="215">
        <f>484/476*100-100</f>
        <v>1.6806722689075571</v>
      </c>
      <c r="G51" s="214">
        <v>24140</v>
      </c>
      <c r="H51" s="215">
        <f>24140/23638*100-100</f>
        <v>2.1236991285218636</v>
      </c>
    </row>
    <row r="52" spans="1:8" s="34" customFormat="1" ht="13.5">
      <c r="A52" s="71" t="s">
        <v>193</v>
      </c>
      <c r="B52" s="65" t="s">
        <v>194</v>
      </c>
      <c r="C52" s="214">
        <v>7</v>
      </c>
      <c r="D52" s="214">
        <v>7</v>
      </c>
      <c r="E52" s="214">
        <v>649</v>
      </c>
      <c r="F52" s="215">
        <f>649/629*100-100</f>
        <v>3.1796502384737693</v>
      </c>
      <c r="G52" s="214">
        <v>32714</v>
      </c>
      <c r="H52" s="215">
        <f>32714/27665*100-100</f>
        <v>18.250497017892656</v>
      </c>
    </row>
    <row r="53" spans="1:8" s="35" customFormat="1" ht="13.5">
      <c r="A53" s="71" t="s">
        <v>195</v>
      </c>
      <c r="B53" s="65" t="s">
        <v>196</v>
      </c>
      <c r="C53" s="214">
        <v>5</v>
      </c>
      <c r="D53" s="214">
        <v>4</v>
      </c>
      <c r="E53" s="214">
        <v>424</v>
      </c>
      <c r="F53" s="215">
        <f>424/310*100-100</f>
        <v>36.774193548387103</v>
      </c>
      <c r="G53" s="214">
        <v>13347</v>
      </c>
      <c r="H53" s="215">
        <f>13347/10608*100-100</f>
        <v>25.820135746606326</v>
      </c>
    </row>
    <row r="54" spans="1:8" s="33" customFormat="1" ht="13.5">
      <c r="A54" s="71" t="s">
        <v>32</v>
      </c>
      <c r="B54" s="65" t="s">
        <v>113</v>
      </c>
      <c r="C54" s="214">
        <v>14</v>
      </c>
      <c r="D54" s="214">
        <v>13</v>
      </c>
      <c r="E54" s="214">
        <v>1060</v>
      </c>
      <c r="F54" s="215">
        <f>1060/1020*100-100</f>
        <v>3.9215686274509949</v>
      </c>
      <c r="G54" s="214">
        <v>55238</v>
      </c>
      <c r="H54" s="215">
        <f>55238/49917*100-100</f>
        <v>10.659695093855802</v>
      </c>
    </row>
    <row r="55" spans="1:8" s="34" customFormat="1" ht="13.5">
      <c r="A55" s="71" t="s">
        <v>33</v>
      </c>
      <c r="B55" s="66" t="s">
        <v>143</v>
      </c>
      <c r="C55" s="214">
        <v>9</v>
      </c>
      <c r="D55" s="214">
        <v>8</v>
      </c>
      <c r="E55" s="214">
        <v>728</v>
      </c>
      <c r="F55" s="215">
        <f>728/701*100-100</f>
        <v>3.8516405135520699</v>
      </c>
      <c r="G55" s="214">
        <v>38952</v>
      </c>
      <c r="H55" s="215">
        <f>38952/35383*100-100</f>
        <v>10.086764830568356</v>
      </c>
    </row>
    <row r="56" spans="1:8" s="33" customFormat="1" ht="13.5">
      <c r="A56" s="70" t="s">
        <v>34</v>
      </c>
      <c r="B56" s="68" t="s">
        <v>114</v>
      </c>
      <c r="C56" s="212">
        <v>22</v>
      </c>
      <c r="D56" s="212">
        <v>22</v>
      </c>
      <c r="E56" s="212">
        <v>5920</v>
      </c>
      <c r="F56" s="213">
        <f>5920/5872*100-100</f>
        <v>0.81743869209809361</v>
      </c>
      <c r="G56" s="212">
        <v>338227</v>
      </c>
      <c r="H56" s="213">
        <f>338227/345249*100-100</f>
        <v>-2.0338943776810368</v>
      </c>
    </row>
    <row r="57" spans="1:8" s="33" customFormat="1" ht="13.5">
      <c r="A57" s="70" t="s">
        <v>35</v>
      </c>
      <c r="B57" s="67" t="s">
        <v>115</v>
      </c>
      <c r="C57" s="212">
        <v>64</v>
      </c>
      <c r="D57" s="212">
        <v>64</v>
      </c>
      <c r="E57" s="212">
        <v>6691</v>
      </c>
      <c r="F57" s="213">
        <f>6691/6598*100-100</f>
        <v>1.4095180357684143</v>
      </c>
      <c r="G57" s="212">
        <v>258647</v>
      </c>
      <c r="H57" s="213">
        <f>258647/246487*100-100</f>
        <v>4.9333230555769632</v>
      </c>
    </row>
    <row r="58" spans="1:8" s="34" customFormat="1" ht="13.5">
      <c r="A58" s="71" t="s">
        <v>36</v>
      </c>
      <c r="B58" s="65" t="s">
        <v>116</v>
      </c>
      <c r="C58" s="214">
        <v>13</v>
      </c>
      <c r="D58" s="214">
        <v>12</v>
      </c>
      <c r="E58" s="214">
        <v>1694</v>
      </c>
      <c r="F58" s="215">
        <f>1694/1662*100-100</f>
        <v>1.9253910950661748</v>
      </c>
      <c r="G58" s="214">
        <v>67428</v>
      </c>
      <c r="H58" s="215">
        <f>67428/64294*100-100</f>
        <v>4.8744828444333876</v>
      </c>
    </row>
    <row r="59" spans="1:8" s="34" customFormat="1" ht="13.5">
      <c r="A59" s="71" t="s">
        <v>37</v>
      </c>
      <c r="B59" s="66" t="s">
        <v>117</v>
      </c>
      <c r="C59" s="214">
        <v>51</v>
      </c>
      <c r="D59" s="214">
        <v>52</v>
      </c>
      <c r="E59" s="214">
        <v>4997</v>
      </c>
      <c r="F59" s="215">
        <f>4997/4936*100-100</f>
        <v>1.2358184764991904</v>
      </c>
      <c r="G59" s="214">
        <v>191218</v>
      </c>
      <c r="H59" s="215">
        <f>191218/182193*100-100</f>
        <v>4.9535382808340671</v>
      </c>
    </row>
    <row r="60" spans="1:8" s="35" customFormat="1" ht="27">
      <c r="A60" s="52" t="s">
        <v>197</v>
      </c>
      <c r="B60" s="65" t="s">
        <v>394</v>
      </c>
      <c r="C60" s="214">
        <v>6</v>
      </c>
      <c r="D60" s="214">
        <v>6</v>
      </c>
      <c r="E60" s="214">
        <v>330</v>
      </c>
      <c r="F60" s="215">
        <f>330/319*100-100</f>
        <v>3.448275862068968</v>
      </c>
      <c r="G60" s="214">
        <v>10919</v>
      </c>
      <c r="H60" s="215">
        <f>10919/10831*100-100</f>
        <v>0.81248268857908101</v>
      </c>
    </row>
    <row r="61" spans="1:8" s="34" customFormat="1" ht="13.5">
      <c r="A61" s="71" t="s">
        <v>198</v>
      </c>
      <c r="B61" s="65" t="s">
        <v>199</v>
      </c>
      <c r="C61" s="214">
        <v>7</v>
      </c>
      <c r="D61" s="214">
        <v>8</v>
      </c>
      <c r="E61" s="214">
        <v>599</v>
      </c>
      <c r="F61" s="215">
        <f>599/623*100-100</f>
        <v>-3.8523274478330762</v>
      </c>
      <c r="G61" s="214">
        <v>19568</v>
      </c>
      <c r="H61" s="215">
        <f>19568/19101*100-100</f>
        <v>2.4448981728705235</v>
      </c>
    </row>
    <row r="62" spans="1:8" s="34" customFormat="1" ht="13.5">
      <c r="A62" s="71" t="s">
        <v>38</v>
      </c>
      <c r="B62" s="66" t="s">
        <v>132</v>
      </c>
      <c r="C62" s="214">
        <v>29</v>
      </c>
      <c r="D62" s="214">
        <v>28</v>
      </c>
      <c r="E62" s="214">
        <v>3277</v>
      </c>
      <c r="F62" s="215">
        <f>3277/3198*100-100</f>
        <v>2.470293933708561</v>
      </c>
      <c r="G62" s="214">
        <v>137602</v>
      </c>
      <c r="H62" s="215">
        <f>137602/128876*100-100</f>
        <v>6.7708494987429759</v>
      </c>
    </row>
    <row r="63" spans="1:8" s="33" customFormat="1" ht="27">
      <c r="A63" s="50" t="s">
        <v>39</v>
      </c>
      <c r="B63" s="67" t="s">
        <v>395</v>
      </c>
      <c r="C63" s="212">
        <v>99</v>
      </c>
      <c r="D63" s="212">
        <v>93</v>
      </c>
      <c r="E63" s="212">
        <v>3768</v>
      </c>
      <c r="F63" s="213">
        <f>3768/3672*100-100</f>
        <v>2.614379084967311</v>
      </c>
      <c r="G63" s="212">
        <v>144155</v>
      </c>
      <c r="H63" s="213">
        <f>144155/132792*100-100</f>
        <v>8.5569913850231956</v>
      </c>
    </row>
    <row r="64" spans="1:8" s="34" customFormat="1" ht="13.5">
      <c r="A64" s="71" t="s">
        <v>200</v>
      </c>
      <c r="B64" s="65" t="s">
        <v>201</v>
      </c>
      <c r="C64" s="214">
        <v>12</v>
      </c>
      <c r="D64" s="214">
        <v>12</v>
      </c>
      <c r="E64" s="214">
        <v>752</v>
      </c>
      <c r="F64" s="215">
        <f>752/739*100-100</f>
        <v>1.7591339648173232</v>
      </c>
      <c r="G64" s="214">
        <v>28443</v>
      </c>
      <c r="H64" s="215">
        <f>28443/29371*100-100</f>
        <v>-3.1595791767389585</v>
      </c>
    </row>
    <row r="65" spans="1:8" s="35" customFormat="1" ht="13.5">
      <c r="A65" s="71" t="s">
        <v>202</v>
      </c>
      <c r="B65" s="65" t="s">
        <v>203</v>
      </c>
      <c r="C65" s="214">
        <v>5</v>
      </c>
      <c r="D65" s="214">
        <v>5</v>
      </c>
      <c r="E65" s="214">
        <v>301</v>
      </c>
      <c r="F65" s="215">
        <f>301/271*100-100</f>
        <v>11.070110701107012</v>
      </c>
      <c r="G65" s="214">
        <v>7152</v>
      </c>
      <c r="H65" s="215">
        <f>7152/7661*100-100</f>
        <v>-6.6440412478788602</v>
      </c>
    </row>
    <row r="66" spans="1:8" s="35" customFormat="1" ht="25.15" customHeight="1">
      <c r="A66" s="52" t="s">
        <v>204</v>
      </c>
      <c r="B66" s="65" t="s">
        <v>396</v>
      </c>
      <c r="C66" s="214">
        <v>4</v>
      </c>
      <c r="D66" s="214">
        <v>4</v>
      </c>
      <c r="E66" s="214">
        <v>204</v>
      </c>
      <c r="F66" s="215">
        <f>204/229*100-100</f>
        <v>-10.917030567685586</v>
      </c>
      <c r="G66" s="214">
        <v>11535</v>
      </c>
      <c r="H66" s="215">
        <f>11535/12200*100-100</f>
        <v>-5.4508196721311464</v>
      </c>
    </row>
    <row r="67" spans="1:8" s="33" customFormat="1" ht="15" customHeight="1">
      <c r="A67" s="71" t="s">
        <v>40</v>
      </c>
      <c r="B67" s="65" t="s">
        <v>133</v>
      </c>
      <c r="C67" s="214">
        <v>66</v>
      </c>
      <c r="D67" s="214">
        <v>60</v>
      </c>
      <c r="E67" s="214">
        <v>1927</v>
      </c>
      <c r="F67" s="215">
        <f>1927/1838*100-100</f>
        <v>4.8422198041349276</v>
      </c>
      <c r="G67" s="214">
        <v>69311</v>
      </c>
      <c r="H67" s="215">
        <f>69311/65882*100-100</f>
        <v>5.2047600255001498</v>
      </c>
    </row>
    <row r="68" spans="1:8" s="35" customFormat="1" ht="27">
      <c r="A68" s="52" t="s">
        <v>205</v>
      </c>
      <c r="B68" s="65" t="s">
        <v>402</v>
      </c>
      <c r="C68" s="214">
        <v>25</v>
      </c>
      <c r="D68" s="214">
        <v>25</v>
      </c>
      <c r="E68" s="214">
        <v>1083</v>
      </c>
      <c r="F68" s="215">
        <f>1083/1055*100-100</f>
        <v>2.6540284360189617</v>
      </c>
      <c r="G68" s="214">
        <v>37147</v>
      </c>
      <c r="H68" s="215">
        <f>37147/36601*100-100</f>
        <v>1.4917625201497344</v>
      </c>
    </row>
    <row r="69" spans="1:8" s="35" customFormat="1" ht="13.5">
      <c r="A69" s="71" t="s">
        <v>206</v>
      </c>
      <c r="B69" s="65" t="s">
        <v>207</v>
      </c>
      <c r="C69" s="214">
        <v>36</v>
      </c>
      <c r="D69" s="214">
        <v>30</v>
      </c>
      <c r="E69" s="214">
        <v>377</v>
      </c>
      <c r="F69" s="215">
        <f>377/331*100-100</f>
        <v>13.897280966767369</v>
      </c>
      <c r="G69" s="214">
        <v>12183</v>
      </c>
      <c r="H69" s="215">
        <f>12183/10253*100-100</f>
        <v>18.823758899834189</v>
      </c>
    </row>
    <row r="70" spans="1:8" s="35" customFormat="1" ht="40.5">
      <c r="A70" s="52" t="s">
        <v>208</v>
      </c>
      <c r="B70" s="65" t="s">
        <v>397</v>
      </c>
      <c r="C70" s="214">
        <v>17</v>
      </c>
      <c r="D70" s="214">
        <v>17</v>
      </c>
      <c r="E70" s="214">
        <v>703</v>
      </c>
      <c r="F70" s="215">
        <f>703/696*100-100</f>
        <v>1.0057471264367734</v>
      </c>
      <c r="G70" s="214">
        <v>28879</v>
      </c>
      <c r="H70" s="215">
        <f>28879/19598*100-100</f>
        <v>47.356873150321462</v>
      </c>
    </row>
    <row r="71" spans="1:8" s="35" customFormat="1" ht="27">
      <c r="A71" s="52" t="s">
        <v>209</v>
      </c>
      <c r="B71" s="65" t="s">
        <v>403</v>
      </c>
      <c r="C71" s="214">
        <v>14</v>
      </c>
      <c r="D71" s="214">
        <v>14</v>
      </c>
      <c r="E71" s="214">
        <v>238</v>
      </c>
      <c r="F71" s="215">
        <f>238/234*100-100</f>
        <v>1.7094017094017033</v>
      </c>
      <c r="G71" s="214">
        <v>10135</v>
      </c>
      <c r="H71" s="215">
        <f>10135/9803*100-100</f>
        <v>3.3867183515250474</v>
      </c>
    </row>
    <row r="72" spans="1:8" s="33" customFormat="1" ht="13.5">
      <c r="A72" s="70" t="s">
        <v>41</v>
      </c>
      <c r="B72" s="68" t="s">
        <v>118</v>
      </c>
      <c r="C72" s="212">
        <v>10</v>
      </c>
      <c r="D72" s="212">
        <v>10</v>
      </c>
      <c r="E72" s="212">
        <v>975</v>
      </c>
      <c r="F72" s="213">
        <f>975/1050*100-100</f>
        <v>-7.1428571428571388</v>
      </c>
      <c r="G72" s="212">
        <v>42598</v>
      </c>
      <c r="H72" s="213">
        <f>42598/44762*100-100</f>
        <v>-4.8344577990259552</v>
      </c>
    </row>
    <row r="73" spans="1:8" s="34" customFormat="1" ht="13.5">
      <c r="A73" s="71" t="s">
        <v>210</v>
      </c>
      <c r="B73" s="65" t="s">
        <v>211</v>
      </c>
      <c r="C73" s="214">
        <v>6</v>
      </c>
      <c r="D73" s="214">
        <v>6</v>
      </c>
      <c r="E73" s="214">
        <v>757</v>
      </c>
      <c r="F73" s="215">
        <f>757/836*100-100</f>
        <v>-9.4497607655502378</v>
      </c>
      <c r="G73" s="214">
        <v>33578</v>
      </c>
      <c r="H73" s="215">
        <f>33578/36040*100-100</f>
        <v>-6.8312985571587177</v>
      </c>
    </row>
    <row r="74" spans="1:8" s="33" customFormat="1" ht="13.5">
      <c r="A74" s="70" t="s">
        <v>42</v>
      </c>
      <c r="B74" s="68" t="s">
        <v>119</v>
      </c>
      <c r="C74" s="212">
        <v>127</v>
      </c>
      <c r="D74" s="212">
        <v>133</v>
      </c>
      <c r="E74" s="212">
        <v>7788</v>
      </c>
      <c r="F74" s="213">
        <f>7788/7966*100-100</f>
        <v>-2.2344966105950306</v>
      </c>
      <c r="G74" s="212">
        <v>293503</v>
      </c>
      <c r="H74" s="213">
        <f>295503/295905*100-100</f>
        <v>-0.1358544127338206</v>
      </c>
    </row>
    <row r="75" spans="1:8" s="34" customFormat="1" ht="13.5">
      <c r="A75" s="71" t="s">
        <v>43</v>
      </c>
      <c r="B75" s="65" t="s">
        <v>144</v>
      </c>
      <c r="C75" s="214">
        <v>38</v>
      </c>
      <c r="D75" s="214">
        <v>38</v>
      </c>
      <c r="E75" s="214">
        <v>1928</v>
      </c>
      <c r="F75" s="215">
        <f>1928/1862*100-100</f>
        <v>3.5445757250268457</v>
      </c>
      <c r="G75" s="214">
        <v>64631</v>
      </c>
      <c r="H75" s="252">
        <f>64631/60434*100-100</f>
        <v>6.9447661912168712</v>
      </c>
    </row>
    <row r="76" spans="1:8" s="35" customFormat="1" ht="13.5">
      <c r="A76" s="71" t="s">
        <v>212</v>
      </c>
      <c r="B76" s="65" t="s">
        <v>213</v>
      </c>
      <c r="C76" s="214">
        <v>25</v>
      </c>
      <c r="D76" s="214">
        <v>24</v>
      </c>
      <c r="E76" s="214">
        <v>1380</v>
      </c>
      <c r="F76" s="215">
        <f>1380/1297*100-100</f>
        <v>6.3993831919814994</v>
      </c>
      <c r="G76" s="214">
        <v>48343</v>
      </c>
      <c r="H76" s="215">
        <f>48343/44673*100-100</f>
        <v>8.2152530611331258</v>
      </c>
    </row>
    <row r="77" spans="1:8" s="35" customFormat="1" ht="13.5">
      <c r="A77" s="71" t="s">
        <v>214</v>
      </c>
      <c r="B77" s="65" t="s">
        <v>215</v>
      </c>
      <c r="C77" s="214">
        <v>13</v>
      </c>
      <c r="D77" s="214">
        <v>14</v>
      </c>
      <c r="E77" s="214">
        <v>548</v>
      </c>
      <c r="F77" s="215">
        <f>548/565*100-100</f>
        <v>-3.0088495575221259</v>
      </c>
      <c r="G77" s="214">
        <v>16288</v>
      </c>
      <c r="H77" s="215">
        <f>16288/15761*100-100</f>
        <v>3.3436964659602921</v>
      </c>
    </row>
    <row r="78" spans="1:8" s="34" customFormat="1" ht="13.5">
      <c r="A78" s="71" t="s">
        <v>216</v>
      </c>
      <c r="B78" s="65" t="s">
        <v>217</v>
      </c>
      <c r="C78" s="214">
        <v>3</v>
      </c>
      <c r="D78" s="214">
        <v>3</v>
      </c>
      <c r="E78" s="212">
        <v>766</v>
      </c>
      <c r="F78" s="212" t="s">
        <v>444</v>
      </c>
      <c r="G78" s="212">
        <v>43510</v>
      </c>
      <c r="H78" s="212" t="s">
        <v>444</v>
      </c>
    </row>
    <row r="79" spans="1:8" s="35" customFormat="1" ht="40.5">
      <c r="A79" s="52" t="s">
        <v>218</v>
      </c>
      <c r="B79" s="65" t="s">
        <v>404</v>
      </c>
      <c r="C79" s="214">
        <v>6</v>
      </c>
      <c r="D79" s="214">
        <v>6</v>
      </c>
      <c r="E79" s="214">
        <v>320</v>
      </c>
      <c r="F79" s="215">
        <f>320/311*100-100</f>
        <v>2.8938906752411526</v>
      </c>
      <c r="G79" s="214">
        <v>9838</v>
      </c>
      <c r="H79" s="215">
        <f>9838/9857*100-100</f>
        <v>-0.19275641675966426</v>
      </c>
    </row>
    <row r="80" spans="1:8" s="34" customFormat="1" ht="27">
      <c r="A80" s="52" t="s">
        <v>44</v>
      </c>
      <c r="B80" s="66" t="s">
        <v>405</v>
      </c>
      <c r="C80" s="214">
        <v>49</v>
      </c>
      <c r="D80" s="214">
        <v>53</v>
      </c>
      <c r="E80" s="214">
        <v>2592</v>
      </c>
      <c r="F80" s="215">
        <f>2592/2654*100-100</f>
        <v>-2.3360964581763426</v>
      </c>
      <c r="G80" s="214">
        <v>82432</v>
      </c>
      <c r="H80" s="215">
        <f>82432/82738*100-100</f>
        <v>-0.36984215233628959</v>
      </c>
    </row>
    <row r="81" spans="1:8" s="34" customFormat="1" ht="13.5">
      <c r="A81" s="71" t="s">
        <v>219</v>
      </c>
      <c r="B81" s="65" t="s">
        <v>220</v>
      </c>
      <c r="C81" s="214">
        <v>10</v>
      </c>
      <c r="D81" s="214">
        <v>11</v>
      </c>
      <c r="E81" s="214">
        <v>511</v>
      </c>
      <c r="F81" s="215">
        <f>511/529*100-100</f>
        <v>-3.4026465028355375</v>
      </c>
      <c r="G81" s="214">
        <v>15833</v>
      </c>
      <c r="H81" s="215">
        <f>15833/16999*100-100</f>
        <v>-6.8592270133537312</v>
      </c>
    </row>
    <row r="82" spans="1:8" s="34" customFormat="1" ht="13.5">
      <c r="A82" s="52" t="s">
        <v>221</v>
      </c>
      <c r="B82" s="65" t="s">
        <v>279</v>
      </c>
      <c r="C82" s="214">
        <v>39</v>
      </c>
      <c r="D82" s="214">
        <v>42</v>
      </c>
      <c r="E82" s="214">
        <v>2081</v>
      </c>
      <c r="F82" s="215">
        <f>2081/2125*100-100</f>
        <v>-2.0705882352941103</v>
      </c>
      <c r="G82" s="214">
        <v>66600</v>
      </c>
      <c r="H82" s="215">
        <f>66600/65740*100-100</f>
        <v>1.3081837541831618</v>
      </c>
    </row>
    <row r="83" spans="1:8" s="35" customFormat="1" ht="27">
      <c r="A83" s="52" t="s">
        <v>223</v>
      </c>
      <c r="B83" s="65" t="s">
        <v>370</v>
      </c>
      <c r="C83" s="214">
        <v>11</v>
      </c>
      <c r="D83" s="214">
        <v>12</v>
      </c>
      <c r="E83" s="214">
        <v>725</v>
      </c>
      <c r="F83" s="215">
        <f>725/771*100-100</f>
        <v>-5.9662775616083081</v>
      </c>
      <c r="G83" s="214">
        <v>36357</v>
      </c>
      <c r="H83" s="215">
        <f>36357/38070*100-100</f>
        <v>-4.4996059889676872</v>
      </c>
    </row>
    <row r="84" spans="1:8" s="34" customFormat="1" ht="13.5">
      <c r="A84" s="52" t="s">
        <v>45</v>
      </c>
      <c r="B84" s="65" t="s">
        <v>134</v>
      </c>
      <c r="C84" s="214">
        <v>18</v>
      </c>
      <c r="D84" s="214">
        <v>19</v>
      </c>
      <c r="E84" s="214">
        <v>1368</v>
      </c>
      <c r="F84" s="215">
        <f>1368/1520*100-100</f>
        <v>-10</v>
      </c>
      <c r="G84" s="214">
        <v>53242</v>
      </c>
      <c r="H84" s="215">
        <f>53242/58756*100-100</f>
        <v>-9.3845734903669467</v>
      </c>
    </row>
    <row r="85" spans="1:8" s="35" customFormat="1" ht="13.5">
      <c r="A85" s="52" t="s">
        <v>224</v>
      </c>
      <c r="B85" s="65" t="s">
        <v>225</v>
      </c>
      <c r="C85" s="214">
        <v>3</v>
      </c>
      <c r="D85" s="214">
        <v>4</v>
      </c>
      <c r="E85" s="214">
        <v>253</v>
      </c>
      <c r="F85" s="215">
        <f>253/277*100-100</f>
        <v>-8.6642599277978292</v>
      </c>
      <c r="G85" s="214">
        <v>6652</v>
      </c>
      <c r="H85" s="215">
        <f>6652/7442*100-100</f>
        <v>-10.615425960763233</v>
      </c>
    </row>
    <row r="86" spans="1:8" s="34" customFormat="1" ht="13.5">
      <c r="A86" s="52" t="s">
        <v>226</v>
      </c>
      <c r="B86" s="65" t="s">
        <v>278</v>
      </c>
      <c r="C86" s="214">
        <v>9</v>
      </c>
      <c r="D86" s="214">
        <v>10</v>
      </c>
      <c r="E86" s="214">
        <v>669</v>
      </c>
      <c r="F86" s="215">
        <f>669/824*100-100</f>
        <v>-18.810679611650485</v>
      </c>
      <c r="G86" s="214">
        <v>25950</v>
      </c>
      <c r="H86" s="215">
        <f>25950/30578*100-100</f>
        <v>-15.135064425403883</v>
      </c>
    </row>
    <row r="87" spans="1:8" s="33" customFormat="1" ht="27">
      <c r="A87" s="50" t="s">
        <v>46</v>
      </c>
      <c r="B87" s="64" t="s">
        <v>406</v>
      </c>
      <c r="C87" s="212">
        <v>57</v>
      </c>
      <c r="D87" s="212">
        <v>56</v>
      </c>
      <c r="E87" s="212">
        <v>7697</v>
      </c>
      <c r="F87" s="213">
        <f>7697/7964*100-100</f>
        <v>-3.3525866398794619</v>
      </c>
      <c r="G87" s="212">
        <v>436901</v>
      </c>
      <c r="H87" s="213">
        <f>436901/425623*100-100</f>
        <v>2.6497628182687407</v>
      </c>
    </row>
    <row r="88" spans="1:8" s="34" customFormat="1" ht="14.45" customHeight="1">
      <c r="A88" s="71" t="s">
        <v>227</v>
      </c>
      <c r="B88" s="65" t="s">
        <v>284</v>
      </c>
      <c r="C88" s="214">
        <v>10</v>
      </c>
      <c r="D88" s="214">
        <v>10</v>
      </c>
      <c r="E88" s="214">
        <v>1475</v>
      </c>
      <c r="F88" s="215">
        <f>1475/1466*100-100</f>
        <v>0.61391541609823719</v>
      </c>
      <c r="G88" s="214">
        <v>65440</v>
      </c>
      <c r="H88" s="215">
        <f>65440/69708*100-100</f>
        <v>-6.1226831927468908</v>
      </c>
    </row>
    <row r="89" spans="1:8" s="35" customFormat="1" ht="27">
      <c r="A89" s="52" t="s">
        <v>229</v>
      </c>
      <c r="B89" s="65" t="s">
        <v>372</v>
      </c>
      <c r="C89" s="214">
        <v>5</v>
      </c>
      <c r="D89" s="214">
        <v>5</v>
      </c>
      <c r="E89" s="214">
        <v>535</v>
      </c>
      <c r="F89" s="215">
        <f>535/494*100-100</f>
        <v>8.2995951417003937</v>
      </c>
      <c r="G89" s="214">
        <v>24687</v>
      </c>
      <c r="H89" s="215">
        <f>24687/22943*100-100</f>
        <v>7.6014470644641108</v>
      </c>
    </row>
    <row r="90" spans="1:8" s="34" customFormat="1" ht="27">
      <c r="A90" s="52" t="s">
        <v>47</v>
      </c>
      <c r="B90" s="69" t="s">
        <v>367</v>
      </c>
      <c r="C90" s="214">
        <v>28</v>
      </c>
      <c r="D90" s="214">
        <v>28</v>
      </c>
      <c r="E90" s="214">
        <v>4343</v>
      </c>
      <c r="F90" s="215">
        <f>4343/4766*100-100</f>
        <v>-8.8753671842215738</v>
      </c>
      <c r="G90" s="214">
        <v>278834</v>
      </c>
      <c r="H90" s="215">
        <f>278834/265803*100-100</f>
        <v>4.9025029815314269</v>
      </c>
    </row>
    <row r="91" spans="1:8" s="35" customFormat="1" ht="27">
      <c r="A91" s="52" t="s">
        <v>230</v>
      </c>
      <c r="B91" s="65" t="s">
        <v>407</v>
      </c>
      <c r="C91" s="214">
        <v>2</v>
      </c>
      <c r="D91" s="214">
        <v>2</v>
      </c>
      <c r="E91" s="212" t="s">
        <v>444</v>
      </c>
      <c r="F91" s="212" t="s">
        <v>444</v>
      </c>
      <c r="G91" s="212" t="s">
        <v>444</v>
      </c>
      <c r="H91" s="212" t="s">
        <v>444</v>
      </c>
    </row>
    <row r="92" spans="1:8" s="34" customFormat="1" ht="27">
      <c r="A92" s="52" t="s">
        <v>232</v>
      </c>
      <c r="B92" s="65" t="s">
        <v>408</v>
      </c>
      <c r="C92" s="214">
        <v>6</v>
      </c>
      <c r="D92" s="214">
        <v>5</v>
      </c>
      <c r="E92" s="214">
        <v>779</v>
      </c>
      <c r="F92" s="215">
        <f>779/703*100-100</f>
        <v>10.810810810810807</v>
      </c>
      <c r="G92" s="214">
        <v>39797</v>
      </c>
      <c r="H92" s="215">
        <f>39797/40592*100-100</f>
        <v>-1.9585139929050115</v>
      </c>
    </row>
    <row r="93" spans="1:8" s="33" customFormat="1" ht="13.5">
      <c r="A93" s="70" t="s">
        <v>48</v>
      </c>
      <c r="B93" s="64" t="s">
        <v>120</v>
      </c>
      <c r="C93" s="212">
        <v>47</v>
      </c>
      <c r="D93" s="212">
        <v>49</v>
      </c>
      <c r="E93" s="212">
        <v>3911</v>
      </c>
      <c r="F93" s="213">
        <f>3911/3930*100-100</f>
        <v>-0.48346055979642699</v>
      </c>
      <c r="G93" s="212">
        <v>170844</v>
      </c>
      <c r="H93" s="213">
        <f>170844/170176*100-100</f>
        <v>0.39253478751410853</v>
      </c>
    </row>
    <row r="94" spans="1:8" s="34" customFormat="1" ht="40.5">
      <c r="A94" s="52" t="s">
        <v>49</v>
      </c>
      <c r="B94" s="65" t="s">
        <v>366</v>
      </c>
      <c r="C94" s="214">
        <v>24</v>
      </c>
      <c r="D94" s="214">
        <v>27</v>
      </c>
      <c r="E94" s="214">
        <v>1686</v>
      </c>
      <c r="F94" s="215">
        <f>1686/1928*100-100</f>
        <v>-12.551867219917014</v>
      </c>
      <c r="G94" s="214">
        <v>74821</v>
      </c>
      <c r="H94" s="215">
        <f>74821/88227*100-100</f>
        <v>-15.194894986795433</v>
      </c>
    </row>
    <row r="95" spans="1:8" s="33" customFormat="1" ht="27">
      <c r="A95" s="52" t="s">
        <v>233</v>
      </c>
      <c r="B95" s="65" t="s">
        <v>365</v>
      </c>
      <c r="C95" s="214">
        <v>10</v>
      </c>
      <c r="D95" s="214">
        <v>10</v>
      </c>
      <c r="E95" s="214">
        <v>824</v>
      </c>
      <c r="F95" s="215">
        <f>824/760*100-100</f>
        <v>8.4210526315789451</v>
      </c>
      <c r="G95" s="214">
        <v>35319</v>
      </c>
      <c r="H95" s="215">
        <f>35319/32701*100-100</f>
        <v>8.0058713800801087</v>
      </c>
    </row>
    <row r="96" spans="1:8" s="34" customFormat="1" ht="27">
      <c r="A96" s="52" t="s">
        <v>234</v>
      </c>
      <c r="B96" s="65" t="s">
        <v>364</v>
      </c>
      <c r="C96" s="214">
        <v>14</v>
      </c>
      <c r="D96" s="214">
        <v>17</v>
      </c>
      <c r="E96" s="214">
        <v>862</v>
      </c>
      <c r="F96" s="215">
        <f>862/1168*100-100</f>
        <v>-26.198630136986296</v>
      </c>
      <c r="G96" s="214">
        <v>39502</v>
      </c>
      <c r="H96" s="215">
        <f>39502/55526*100-100</f>
        <v>-28.858552750063041</v>
      </c>
    </row>
    <row r="97" spans="1:8" s="34" customFormat="1" ht="13.5">
      <c r="A97" s="71" t="s">
        <v>235</v>
      </c>
      <c r="B97" s="65" t="s">
        <v>236</v>
      </c>
      <c r="C97" s="214">
        <v>7</v>
      </c>
      <c r="D97" s="214">
        <v>7</v>
      </c>
      <c r="E97" s="214">
        <v>578</v>
      </c>
      <c r="F97" s="215">
        <f>578/568*100-100</f>
        <v>1.7605633802816953</v>
      </c>
      <c r="G97" s="214">
        <v>21899</v>
      </c>
      <c r="H97" s="215">
        <f>21899/21532*100-100</f>
        <v>1.7044399033995887</v>
      </c>
    </row>
    <row r="98" spans="1:8" s="34" customFormat="1" ht="27">
      <c r="A98" s="52" t="s">
        <v>50</v>
      </c>
      <c r="B98" s="66" t="s">
        <v>363</v>
      </c>
      <c r="C98" s="214">
        <v>11</v>
      </c>
      <c r="D98" s="214">
        <v>10</v>
      </c>
      <c r="E98" s="214">
        <v>1335</v>
      </c>
      <c r="F98" s="215">
        <f>1335/1116*100-100</f>
        <v>19.623655913978496</v>
      </c>
      <c r="G98" s="214">
        <v>59192</v>
      </c>
      <c r="H98" s="215">
        <f>59192/47142*100-100</f>
        <v>25.561070807348017</v>
      </c>
    </row>
    <row r="99" spans="1:8" s="33" customFormat="1" ht="13.5">
      <c r="A99" s="70" t="s">
        <v>51</v>
      </c>
      <c r="B99" s="67" t="s">
        <v>121</v>
      </c>
      <c r="C99" s="212">
        <v>141</v>
      </c>
      <c r="D99" s="212">
        <v>141</v>
      </c>
      <c r="E99" s="212">
        <v>18964</v>
      </c>
      <c r="F99" s="213">
        <f>18964/20192*100-100</f>
        <v>-6.0816164817749723</v>
      </c>
      <c r="G99" s="212">
        <v>999848</v>
      </c>
      <c r="H99" s="213">
        <f>999848/1050105*100-100</f>
        <v>-4.7859023621447392</v>
      </c>
    </row>
    <row r="100" spans="1:8" s="34" customFormat="1" ht="27">
      <c r="A100" s="52" t="s">
        <v>237</v>
      </c>
      <c r="B100" s="65" t="s">
        <v>362</v>
      </c>
      <c r="C100" s="214">
        <v>35</v>
      </c>
      <c r="D100" s="214">
        <v>34</v>
      </c>
      <c r="E100" s="214">
        <v>7846</v>
      </c>
      <c r="F100" s="215">
        <f>7846/7996*100-100</f>
        <v>-1.8759379689844877</v>
      </c>
      <c r="G100" s="214">
        <v>437234</v>
      </c>
      <c r="H100" s="215">
        <f>437234/436250*100-100</f>
        <v>0.22555873925500691</v>
      </c>
    </row>
    <row r="101" spans="1:8" s="34" customFormat="1" ht="13.5">
      <c r="A101" s="71" t="s">
        <v>238</v>
      </c>
      <c r="B101" s="65" t="s">
        <v>274</v>
      </c>
      <c r="C101" s="214">
        <v>13</v>
      </c>
      <c r="D101" s="214">
        <v>13</v>
      </c>
      <c r="E101" s="214">
        <v>2537</v>
      </c>
      <c r="F101" s="215">
        <f>2537/2570*100-100</f>
        <v>-1.2840466926070064</v>
      </c>
      <c r="G101" s="214">
        <v>126681</v>
      </c>
      <c r="H101" s="215">
        <f>126681/126185*100-100</f>
        <v>0.39307366168721103</v>
      </c>
    </row>
    <row r="102" spans="1:8" s="35" customFormat="1" ht="13.5">
      <c r="A102" s="71" t="s">
        <v>52</v>
      </c>
      <c r="B102" s="66" t="s">
        <v>275</v>
      </c>
      <c r="C102" s="214">
        <v>6</v>
      </c>
      <c r="D102" s="214">
        <v>6</v>
      </c>
      <c r="E102" s="214">
        <v>1360</v>
      </c>
      <c r="F102" s="215">
        <f>1360/1419*100-100</f>
        <v>-4.1578576462297292</v>
      </c>
      <c r="G102" s="214">
        <v>70352</v>
      </c>
      <c r="H102" s="215">
        <f>70352/68353*100-100</f>
        <v>2.9245241613389226</v>
      </c>
    </row>
    <row r="103" spans="1:8" s="34" customFormat="1" ht="27">
      <c r="A103" s="52" t="s">
        <v>239</v>
      </c>
      <c r="B103" s="65" t="s">
        <v>361</v>
      </c>
      <c r="C103" s="214">
        <v>10</v>
      </c>
      <c r="D103" s="214">
        <v>10</v>
      </c>
      <c r="E103" s="214">
        <v>1341</v>
      </c>
      <c r="F103" s="215">
        <f>1341/1329*100-100</f>
        <v>0.90293453724605399</v>
      </c>
      <c r="G103" s="214">
        <v>70041</v>
      </c>
      <c r="H103" s="215">
        <f>70041/67061*100-100</f>
        <v>4.4437154232713567</v>
      </c>
    </row>
    <row r="104" spans="1:8" s="34" customFormat="1" ht="27">
      <c r="A104" s="52" t="s">
        <v>53</v>
      </c>
      <c r="B104" s="65" t="s">
        <v>360</v>
      </c>
      <c r="C104" s="214">
        <v>48</v>
      </c>
      <c r="D104" s="214">
        <v>48</v>
      </c>
      <c r="E104" s="214">
        <v>4925</v>
      </c>
      <c r="F104" s="215">
        <f>4925/5975*100-100</f>
        <v>-17.573221757322173</v>
      </c>
      <c r="G104" s="214">
        <v>240785</v>
      </c>
      <c r="H104" s="249">
        <f>240785/299213*100-100</f>
        <v>-19.527226423985582</v>
      </c>
    </row>
    <row r="105" spans="1:8" s="33" customFormat="1" ht="13.5">
      <c r="A105" s="71" t="s">
        <v>54</v>
      </c>
      <c r="B105" s="66" t="s">
        <v>282</v>
      </c>
      <c r="C105" s="214">
        <v>14</v>
      </c>
      <c r="D105" s="214">
        <v>14</v>
      </c>
      <c r="E105" s="214">
        <v>2151</v>
      </c>
      <c r="F105" s="215">
        <f>2151/2141*100-100</f>
        <v>0.46707146193367066</v>
      </c>
      <c r="G105" s="214">
        <v>116071</v>
      </c>
      <c r="H105" s="215">
        <f>116071/114544*100-100</f>
        <v>1.333112166503696</v>
      </c>
    </row>
    <row r="106" spans="1:8" s="34" customFormat="1" ht="27">
      <c r="A106" s="52" t="s">
        <v>55</v>
      </c>
      <c r="B106" s="65" t="s">
        <v>381</v>
      </c>
      <c r="C106" s="214">
        <v>22</v>
      </c>
      <c r="D106" s="214">
        <v>23</v>
      </c>
      <c r="E106" s="214">
        <v>1873</v>
      </c>
      <c r="F106" s="215">
        <f>1873/3097*100-100</f>
        <v>-39.522118178882792</v>
      </c>
      <c r="G106" s="214">
        <v>87253</v>
      </c>
      <c r="H106" s="215">
        <f>87253/156563*100-100</f>
        <v>-44.269718899101321</v>
      </c>
    </row>
    <row r="107" spans="1:8" s="34" customFormat="1" ht="27">
      <c r="A107" s="52" t="s">
        <v>56</v>
      </c>
      <c r="B107" s="65" t="s">
        <v>382</v>
      </c>
      <c r="C107" s="214">
        <v>48</v>
      </c>
      <c r="D107" s="214">
        <v>49</v>
      </c>
      <c r="E107" s="214">
        <v>4979</v>
      </c>
      <c r="F107" s="215">
        <f>4979/5019*100-100</f>
        <v>-0.79697150826858376</v>
      </c>
      <c r="G107" s="214">
        <v>265599</v>
      </c>
      <c r="H107" s="215">
        <f>265599/259345*100-100</f>
        <v>2.4114596387051961</v>
      </c>
    </row>
    <row r="108" spans="1:8" s="35" customFormat="1" ht="13.5">
      <c r="A108" s="71" t="s">
        <v>240</v>
      </c>
      <c r="B108" s="65" t="s">
        <v>241</v>
      </c>
      <c r="C108" s="214">
        <v>8</v>
      </c>
      <c r="D108" s="214">
        <v>8</v>
      </c>
      <c r="E108" s="214">
        <v>615</v>
      </c>
      <c r="F108" s="215">
        <f>615/605*100-100</f>
        <v>1.6528925619834638</v>
      </c>
      <c r="G108" s="214">
        <v>29601</v>
      </c>
      <c r="H108" s="215">
        <f>29601/30083*100-100</f>
        <v>-1.602233819765317</v>
      </c>
    </row>
    <row r="109" spans="1:8" s="34" customFormat="1" ht="23.45" customHeight="1">
      <c r="A109" s="52" t="s">
        <v>242</v>
      </c>
      <c r="B109" s="65" t="s">
        <v>409</v>
      </c>
      <c r="C109" s="214">
        <v>12</v>
      </c>
      <c r="D109" s="214">
        <v>12</v>
      </c>
      <c r="E109" s="214">
        <v>1506</v>
      </c>
      <c r="F109" s="215">
        <f>1506/1508*100-100</f>
        <v>-0.13262599469496195</v>
      </c>
      <c r="G109" s="214">
        <v>86934</v>
      </c>
      <c r="H109" s="215">
        <f>86934/87537*100-100</f>
        <v>-0.68885157133554742</v>
      </c>
    </row>
    <row r="110" spans="1:8" s="34" customFormat="1" ht="27">
      <c r="A110" s="52" t="s">
        <v>243</v>
      </c>
      <c r="B110" s="65" t="s">
        <v>375</v>
      </c>
      <c r="C110" s="214">
        <v>23</v>
      </c>
      <c r="D110" s="214">
        <v>24</v>
      </c>
      <c r="E110" s="214">
        <v>2201</v>
      </c>
      <c r="F110" s="215">
        <f>2201/2211*100-100</f>
        <v>-0.45228403437359077</v>
      </c>
      <c r="G110" s="214">
        <v>107880</v>
      </c>
      <c r="H110" s="215">
        <f>107880/105820*100-100</f>
        <v>1.9467019467019497</v>
      </c>
    </row>
    <row r="111" spans="1:8" s="33" customFormat="1" ht="13.5">
      <c r="A111" s="70" t="s">
        <v>57</v>
      </c>
      <c r="B111" s="67" t="s">
        <v>122</v>
      </c>
      <c r="C111" s="212">
        <v>13</v>
      </c>
      <c r="D111" s="212">
        <v>13</v>
      </c>
      <c r="E111" s="212">
        <v>3676</v>
      </c>
      <c r="F111" s="213">
        <f>3676/3722*100-100</f>
        <v>-1.2358946802794151</v>
      </c>
      <c r="G111" s="212">
        <v>185315</v>
      </c>
      <c r="H111" s="213">
        <f>185315/198638*100-100</f>
        <v>-6.7071758676587478</v>
      </c>
    </row>
    <row r="112" spans="1:8" s="34" customFormat="1" ht="13.5">
      <c r="A112" s="71" t="s">
        <v>244</v>
      </c>
      <c r="B112" s="65" t="s">
        <v>283</v>
      </c>
      <c r="C112" s="214">
        <v>6</v>
      </c>
      <c r="D112" s="214">
        <v>6</v>
      </c>
      <c r="E112" s="214">
        <v>1251</v>
      </c>
      <c r="F112" s="215">
        <f>1251/1231*100-100</f>
        <v>1.6246953696181947</v>
      </c>
      <c r="G112" s="214">
        <v>53950</v>
      </c>
      <c r="H112" s="215">
        <f>53950/58389*100-100</f>
        <v>-7.6024593673465972</v>
      </c>
    </row>
    <row r="113" spans="1:8" s="33" customFormat="1" ht="13.5">
      <c r="A113" s="70" t="s">
        <v>58</v>
      </c>
      <c r="B113" s="67" t="s">
        <v>123</v>
      </c>
      <c r="C113" s="212">
        <v>19</v>
      </c>
      <c r="D113" s="212">
        <v>19</v>
      </c>
      <c r="E113" s="212">
        <v>6744</v>
      </c>
      <c r="F113" s="213">
        <f>6744/6682*100-100</f>
        <v>0.9278659084106522</v>
      </c>
      <c r="G113" s="212">
        <v>386901</v>
      </c>
      <c r="H113" s="213">
        <f>386901/379763*100-100</f>
        <v>1.8795933253107791</v>
      </c>
    </row>
    <row r="114" spans="1:8" s="34" customFormat="1" ht="13.5">
      <c r="A114" s="71" t="s">
        <v>59</v>
      </c>
      <c r="B114" s="65" t="s">
        <v>124</v>
      </c>
      <c r="C114" s="214">
        <v>12</v>
      </c>
      <c r="D114" s="214">
        <v>11</v>
      </c>
      <c r="E114" s="214">
        <v>5110</v>
      </c>
      <c r="F114" s="215">
        <f>5110/4919*100-100</f>
        <v>3.8829030290709454</v>
      </c>
      <c r="G114" s="214">
        <v>309230</v>
      </c>
      <c r="H114" s="215">
        <f>309230/296917*100-100</f>
        <v>4.1469501577882113</v>
      </c>
    </row>
    <row r="115" spans="1:8" s="33" customFormat="1" ht="13.5">
      <c r="A115" s="70" t="s">
        <v>60</v>
      </c>
      <c r="B115" s="67" t="s">
        <v>136</v>
      </c>
      <c r="C115" s="212">
        <v>16</v>
      </c>
      <c r="D115" s="212">
        <v>17</v>
      </c>
      <c r="E115" s="212">
        <v>1059</v>
      </c>
      <c r="F115" s="213">
        <f>1059/1117*100-100</f>
        <v>-5.1924798567591779</v>
      </c>
      <c r="G115" s="212">
        <v>38540</v>
      </c>
      <c r="H115" s="213">
        <f>38540/39020*100-100</f>
        <v>-1.2301383905689391</v>
      </c>
    </row>
    <row r="116" spans="1:8" s="35" customFormat="1" ht="13.5">
      <c r="A116" s="71" t="s">
        <v>246</v>
      </c>
      <c r="B116" s="65" t="s">
        <v>247</v>
      </c>
      <c r="C116" s="214">
        <v>8</v>
      </c>
      <c r="D116" s="214">
        <v>7</v>
      </c>
      <c r="E116" s="214">
        <v>660</v>
      </c>
      <c r="F116" s="215">
        <f>660/379*100-100</f>
        <v>74.142480211081789</v>
      </c>
      <c r="G116" s="214">
        <v>25668</v>
      </c>
      <c r="H116" s="215">
        <f>25668/12893*100-100</f>
        <v>99.084774683937013</v>
      </c>
    </row>
    <row r="117" spans="1:8" s="33" customFormat="1" ht="13.5">
      <c r="A117" s="70" t="s">
        <v>61</v>
      </c>
      <c r="B117" s="68" t="s">
        <v>125</v>
      </c>
      <c r="C117" s="212">
        <v>66</v>
      </c>
      <c r="D117" s="212">
        <v>63</v>
      </c>
      <c r="E117" s="212">
        <v>10285</v>
      </c>
      <c r="F117" s="213">
        <f>10285/10308*100-100</f>
        <v>-0.22312766783080917</v>
      </c>
      <c r="G117" s="212">
        <v>563614</v>
      </c>
      <c r="H117" s="213">
        <f>563614/393217*100-100</f>
        <v>43.334087793762734</v>
      </c>
    </row>
    <row r="118" spans="1:8" s="34" customFormat="1" ht="27">
      <c r="A118" s="52" t="s">
        <v>62</v>
      </c>
      <c r="B118" s="65" t="s">
        <v>376</v>
      </c>
      <c r="C118" s="214">
        <v>56</v>
      </c>
      <c r="D118" s="214">
        <v>53</v>
      </c>
      <c r="E118" s="214">
        <v>9158</v>
      </c>
      <c r="F118" s="215">
        <f>9158/9202*100-100</f>
        <v>-0.47815692240817498</v>
      </c>
      <c r="G118" s="214">
        <v>514255</v>
      </c>
      <c r="H118" s="215">
        <f>514255/346275*100-100</f>
        <v>48.510576853656772</v>
      </c>
    </row>
    <row r="119" spans="1:8" s="35" customFormat="1" ht="13.5">
      <c r="A119" s="71" t="s">
        <v>248</v>
      </c>
      <c r="B119" s="65" t="s">
        <v>276</v>
      </c>
      <c r="C119" s="214">
        <v>6</v>
      </c>
      <c r="D119" s="214">
        <v>6</v>
      </c>
      <c r="E119" s="214">
        <v>729</v>
      </c>
      <c r="F119" s="215">
        <f>729/722*100-100</f>
        <v>0.9695290858725798</v>
      </c>
      <c r="G119" s="214">
        <v>33503</v>
      </c>
      <c r="H119" s="215">
        <f>33503/33075*100-100</f>
        <v>1.2940287226001601</v>
      </c>
    </row>
    <row r="120" spans="1:8" s="33" customFormat="1" ht="27">
      <c r="A120" s="50" t="s">
        <v>63</v>
      </c>
      <c r="B120" s="68" t="s">
        <v>410</v>
      </c>
      <c r="C120" s="212">
        <v>77</v>
      </c>
      <c r="D120" s="212">
        <v>76</v>
      </c>
      <c r="E120" s="212">
        <v>7464</v>
      </c>
      <c r="F120" s="213">
        <f>7464/5968*100-100</f>
        <v>25.067024128686327</v>
      </c>
      <c r="G120" s="212">
        <v>334603</v>
      </c>
      <c r="H120" s="213">
        <f>334603/250108*100-100</f>
        <v>33.783405568794279</v>
      </c>
    </row>
    <row r="121" spans="1:8" s="34" customFormat="1" ht="27">
      <c r="A121" s="52" t="s">
        <v>64</v>
      </c>
      <c r="B121" s="65" t="s">
        <v>411</v>
      </c>
      <c r="C121" s="214">
        <v>50</v>
      </c>
      <c r="D121" s="214">
        <v>48</v>
      </c>
      <c r="E121" s="214">
        <v>4522</v>
      </c>
      <c r="F121" s="215">
        <f>4522/4253*100-100</f>
        <v>6.3249470961674206</v>
      </c>
      <c r="G121" s="214">
        <v>199750</v>
      </c>
      <c r="H121" s="215">
        <f>199750/178867*100-100</f>
        <v>11.675155282975624</v>
      </c>
    </row>
    <row r="122" spans="1:8" s="34" customFormat="1" ht="13.5">
      <c r="A122" s="71" t="s">
        <v>65</v>
      </c>
      <c r="B122" s="66" t="s">
        <v>74</v>
      </c>
      <c r="C122" s="214">
        <v>19</v>
      </c>
      <c r="D122" s="214">
        <v>18</v>
      </c>
      <c r="E122" s="214">
        <v>2448</v>
      </c>
      <c r="F122" s="215">
        <f>2448/2306*100-100</f>
        <v>6.1578490893321742</v>
      </c>
      <c r="G122" s="214">
        <v>113726</v>
      </c>
      <c r="H122" s="215">
        <f>113726/103757*100-100</f>
        <v>9.6080264464084308</v>
      </c>
    </row>
    <row r="123" spans="1:8" s="35" customFormat="1" ht="13.5">
      <c r="A123" s="71" t="s">
        <v>66</v>
      </c>
      <c r="B123" s="65" t="s">
        <v>137</v>
      </c>
      <c r="C123" s="214">
        <v>7</v>
      </c>
      <c r="D123" s="214">
        <v>8</v>
      </c>
      <c r="E123" s="214">
        <v>342</v>
      </c>
      <c r="F123" s="215">
        <f>342/348*100-100</f>
        <v>-1.7241379310344911</v>
      </c>
      <c r="G123" s="214">
        <v>13426</v>
      </c>
      <c r="H123" s="215">
        <f>13426/12886*100-100</f>
        <v>4.1905944435821851</v>
      </c>
    </row>
    <row r="124" spans="1:8" s="34" customFormat="1" ht="27">
      <c r="A124" s="52" t="s">
        <v>249</v>
      </c>
      <c r="B124" s="65" t="s">
        <v>379</v>
      </c>
      <c r="C124" s="214">
        <v>10</v>
      </c>
      <c r="D124" s="214">
        <v>10</v>
      </c>
      <c r="E124" s="214">
        <v>411</v>
      </c>
      <c r="F124" s="215">
        <f>411/466*100-100</f>
        <v>-11.80257510729615</v>
      </c>
      <c r="G124" s="214">
        <v>14764</v>
      </c>
      <c r="H124" s="215">
        <f>14764/13912*100-100</f>
        <v>6.1242093156986783</v>
      </c>
    </row>
    <row r="125" spans="1:8" s="33" customFormat="1" ht="23.25" customHeight="1">
      <c r="A125" s="52" t="s">
        <v>67</v>
      </c>
      <c r="B125" s="65" t="s">
        <v>412</v>
      </c>
      <c r="C125" s="214">
        <v>27</v>
      </c>
      <c r="D125" s="214">
        <v>28</v>
      </c>
      <c r="E125" s="214">
        <v>2942</v>
      </c>
      <c r="F125" s="215">
        <f>2942/1715*100-100</f>
        <v>71.545189504373184</v>
      </c>
      <c r="G125" s="214">
        <v>134853</v>
      </c>
      <c r="H125" s="215">
        <f>134853/71241*100-100</f>
        <v>89.291278898387162</v>
      </c>
    </row>
    <row r="126" spans="1:8" s="33" customFormat="1" ht="13.5">
      <c r="A126" s="52"/>
      <c r="B126" s="65"/>
      <c r="C126" s="53"/>
      <c r="D126" s="53"/>
      <c r="E126" s="53"/>
      <c r="F126" s="54"/>
      <c r="G126" s="53"/>
      <c r="H126" s="54"/>
    </row>
    <row r="127" spans="1:8" s="33" customFormat="1" ht="13.5">
      <c r="A127" s="70" t="s">
        <v>68</v>
      </c>
      <c r="B127" s="64" t="s">
        <v>127</v>
      </c>
      <c r="C127" s="212">
        <v>1209</v>
      </c>
      <c r="D127" s="212">
        <v>1211</v>
      </c>
      <c r="E127" s="212">
        <v>124018</v>
      </c>
      <c r="F127" s="213">
        <f>124018/123861*100-100</f>
        <v>0.126754991482386</v>
      </c>
      <c r="G127" s="212">
        <v>5679681</v>
      </c>
      <c r="H127" s="213">
        <f>5679681/5422903*100-100</f>
        <v>4.7350653330882011</v>
      </c>
    </row>
    <row r="128" spans="1:8" s="34" customFormat="1" ht="13.5">
      <c r="A128" s="70"/>
      <c r="B128" s="64"/>
      <c r="C128" s="53"/>
      <c r="D128" s="53"/>
      <c r="E128" s="53"/>
      <c r="F128" s="54"/>
      <c r="G128" s="53"/>
      <c r="H128" s="54"/>
    </row>
    <row r="129" spans="1:8" s="33" customFormat="1" ht="13.5">
      <c r="A129" s="70" t="s">
        <v>69</v>
      </c>
      <c r="B129" s="68" t="s">
        <v>139</v>
      </c>
      <c r="C129" s="212">
        <v>464</v>
      </c>
      <c r="D129" s="212">
        <v>469</v>
      </c>
      <c r="E129" s="212">
        <v>35654</v>
      </c>
      <c r="F129" s="213">
        <f>35654/35755*100-100</f>
        <v>-0.28247797510837813</v>
      </c>
      <c r="G129" s="212">
        <v>1488592</v>
      </c>
      <c r="H129" s="213">
        <f>1488592/1456001*100-100</f>
        <v>2.2383913197861887</v>
      </c>
    </row>
    <row r="130" spans="1:8" s="33" customFormat="1" ht="13.5">
      <c r="A130" s="70" t="s">
        <v>16</v>
      </c>
      <c r="B130" s="68" t="s">
        <v>140</v>
      </c>
      <c r="C130" s="212">
        <v>385</v>
      </c>
      <c r="D130" s="212">
        <v>380</v>
      </c>
      <c r="E130" s="212">
        <v>53738</v>
      </c>
      <c r="F130" s="213">
        <f>53738/53728*100-100</f>
        <v>1.8612269207849863E-2</v>
      </c>
      <c r="G130" s="212">
        <v>2841233</v>
      </c>
      <c r="H130" s="213">
        <f>2841233/2622652*100-100</f>
        <v>8.3343501158369406</v>
      </c>
    </row>
    <row r="131" spans="1:8" s="33" customFormat="1" ht="13.5">
      <c r="A131" s="70" t="s">
        <v>70</v>
      </c>
      <c r="B131" s="68" t="s">
        <v>141</v>
      </c>
      <c r="C131" s="212">
        <v>29</v>
      </c>
      <c r="D131" s="212">
        <v>30</v>
      </c>
      <c r="E131" s="212">
        <v>2526</v>
      </c>
      <c r="F131" s="213">
        <f>2526/2556*100-100</f>
        <v>-1.1737089201877922</v>
      </c>
      <c r="G131" s="212">
        <v>108525</v>
      </c>
      <c r="H131" s="213">
        <f>108525/110320*100-100</f>
        <v>-1.6270848440899215</v>
      </c>
    </row>
    <row r="132" spans="1:8" s="33" customFormat="1" ht="13.5">
      <c r="A132" s="70" t="s">
        <v>71</v>
      </c>
      <c r="B132" s="68" t="s">
        <v>142</v>
      </c>
      <c r="C132" s="212">
        <v>326</v>
      </c>
      <c r="D132" s="212">
        <v>326</v>
      </c>
      <c r="E132" s="212">
        <v>31155</v>
      </c>
      <c r="F132" s="213">
        <f>31155/30836*100-100</f>
        <v>1.0345051238811749</v>
      </c>
      <c r="G132" s="212">
        <v>1174460</v>
      </c>
      <c r="H132" s="213">
        <f>1174460/1167602*100-100</f>
        <v>0.58735767838697939</v>
      </c>
    </row>
    <row r="133" spans="1:8" s="33" customFormat="1" ht="13.5">
      <c r="A133" s="72" t="s">
        <v>72</v>
      </c>
      <c r="B133" s="73" t="s">
        <v>126</v>
      </c>
      <c r="C133" s="216">
        <v>5</v>
      </c>
      <c r="D133" s="216">
        <v>6</v>
      </c>
      <c r="E133" s="216">
        <v>945</v>
      </c>
      <c r="F133" s="217">
        <f>945/986*100-100</f>
        <v>-4.158215010141987</v>
      </c>
      <c r="G133" s="216">
        <v>66870</v>
      </c>
      <c r="H133" s="217">
        <f>66870/66328*100-100</f>
        <v>0.817151127728863</v>
      </c>
    </row>
    <row r="134" spans="1:8" s="34" customFormat="1" ht="13.5">
      <c r="A134" s="44"/>
      <c r="B134" s="44"/>
      <c r="C134" s="45"/>
      <c r="D134" s="45"/>
      <c r="E134" s="45"/>
      <c r="F134" s="45"/>
      <c r="G134" s="45"/>
      <c r="H134" s="45"/>
    </row>
    <row r="135" spans="1:8" s="34" customFormat="1" ht="13.5">
      <c r="A135" s="42"/>
      <c r="B135" s="42"/>
      <c r="C135" s="43"/>
      <c r="D135" s="43"/>
      <c r="E135" s="43"/>
      <c r="F135" s="43"/>
      <c r="G135" s="43"/>
      <c r="H135" s="43"/>
    </row>
    <row r="136" spans="1:8" s="34" customFormat="1" ht="13.5">
      <c r="A136" s="42"/>
      <c r="B136" s="42"/>
      <c r="C136" s="43"/>
      <c r="D136" s="43"/>
      <c r="E136" s="43"/>
      <c r="F136" s="43"/>
      <c r="G136" s="43"/>
      <c r="H136" s="43"/>
    </row>
    <row r="137" spans="1:8" s="34" customFormat="1" ht="13.5">
      <c r="A137" s="42"/>
      <c r="B137" s="42"/>
      <c r="C137" s="43"/>
      <c r="D137" s="43"/>
      <c r="E137" s="43"/>
      <c r="F137" s="43"/>
      <c r="G137" s="43"/>
      <c r="H137" s="43"/>
    </row>
    <row r="138" spans="1:8" s="34" customFormat="1" ht="13.5">
      <c r="A138" s="42"/>
      <c r="B138" s="42"/>
      <c r="C138" s="43"/>
      <c r="D138" s="43"/>
      <c r="E138" s="43"/>
      <c r="F138" s="43"/>
      <c r="G138" s="43"/>
      <c r="H138" s="43"/>
    </row>
    <row r="139" spans="1:8" s="34" customFormat="1" ht="13.5">
      <c r="A139" s="42"/>
      <c r="B139" s="42"/>
      <c r="C139" s="43"/>
      <c r="D139" s="43"/>
      <c r="E139" s="43"/>
      <c r="F139" s="43"/>
      <c r="G139" s="43"/>
      <c r="H139" s="43"/>
    </row>
    <row r="140" spans="1:8" s="34" customFormat="1" ht="13.5">
      <c r="A140" s="42"/>
      <c r="B140" s="42"/>
      <c r="C140" s="43"/>
      <c r="D140" s="43"/>
      <c r="E140" s="43"/>
      <c r="F140" s="43"/>
      <c r="G140" s="43"/>
      <c r="H140" s="43"/>
    </row>
    <row r="141" spans="1:8" s="34" customFormat="1" ht="13.5">
      <c r="A141" s="42"/>
      <c r="B141" s="42"/>
      <c r="C141" s="43"/>
      <c r="D141" s="43"/>
      <c r="E141" s="43"/>
      <c r="F141" s="43"/>
      <c r="G141" s="43"/>
      <c r="H141" s="43"/>
    </row>
    <row r="142" spans="1:8" s="34" customFormat="1" ht="13.5">
      <c r="A142" s="42"/>
      <c r="B142" s="42"/>
      <c r="C142" s="43"/>
      <c r="D142" s="43"/>
      <c r="E142" s="43"/>
      <c r="F142" s="43"/>
      <c r="G142" s="43"/>
      <c r="H142" s="43"/>
    </row>
    <row r="143" spans="1:8" s="34" customFormat="1" ht="13.5">
      <c r="A143" s="42"/>
      <c r="B143" s="42"/>
      <c r="C143" s="43"/>
      <c r="D143" s="43"/>
      <c r="E143" s="43"/>
      <c r="F143" s="43"/>
      <c r="G143" s="43"/>
      <c r="H143" s="43"/>
    </row>
    <row r="144" spans="1:8" s="34" customFormat="1" ht="13.5">
      <c r="A144" s="42"/>
      <c r="B144" s="42"/>
      <c r="C144" s="43"/>
      <c r="D144" s="43"/>
      <c r="E144" s="43"/>
      <c r="F144" s="43"/>
      <c r="G144" s="43"/>
      <c r="H144" s="43"/>
    </row>
    <row r="145" spans="1:8" s="34" customFormat="1" ht="13.5">
      <c r="A145" s="42"/>
      <c r="B145" s="42"/>
      <c r="C145" s="43"/>
      <c r="D145" s="43"/>
      <c r="E145" s="43"/>
      <c r="F145" s="43"/>
      <c r="G145" s="43"/>
      <c r="H145" s="43"/>
    </row>
    <row r="146" spans="1:8" s="34" customFormat="1" ht="13.5">
      <c r="A146" s="42"/>
      <c r="B146" s="42"/>
      <c r="C146" s="43"/>
      <c r="D146" s="43"/>
      <c r="E146" s="43"/>
      <c r="F146" s="43"/>
      <c r="G146" s="43"/>
      <c r="H146" s="43"/>
    </row>
    <row r="147" spans="1:8" s="34" customFormat="1" ht="13.5">
      <c r="A147" s="42"/>
      <c r="B147" s="42"/>
      <c r="C147" s="43"/>
      <c r="D147" s="43"/>
      <c r="E147" s="43"/>
      <c r="F147" s="43"/>
      <c r="G147" s="43"/>
      <c r="H147" s="43"/>
    </row>
    <row r="148" spans="1:8" s="34" customFormat="1" ht="13.5">
      <c r="A148" s="42"/>
      <c r="B148" s="42"/>
      <c r="C148" s="43"/>
      <c r="D148" s="43"/>
      <c r="E148" s="43"/>
      <c r="F148" s="43"/>
      <c r="G148" s="43"/>
      <c r="H148" s="43"/>
    </row>
    <row r="149" spans="1:8" s="34" customFormat="1" ht="13.5">
      <c r="A149" s="42"/>
      <c r="B149" s="42"/>
      <c r="C149" s="43"/>
      <c r="D149" s="43"/>
      <c r="E149" s="43"/>
      <c r="F149" s="43"/>
      <c r="G149" s="43"/>
      <c r="H149" s="43"/>
    </row>
    <row r="150" spans="1:8" s="34" customFormat="1" ht="13.5">
      <c r="A150" s="42"/>
      <c r="B150" s="42"/>
      <c r="C150" s="43"/>
      <c r="D150" s="43"/>
      <c r="E150" s="43"/>
      <c r="F150" s="43"/>
      <c r="G150" s="43"/>
      <c r="H150" s="43"/>
    </row>
    <row r="151" spans="1:8" s="34" customFormat="1" ht="13.5">
      <c r="A151" s="42"/>
      <c r="B151" s="42"/>
      <c r="C151" s="43"/>
      <c r="D151" s="43"/>
      <c r="E151" s="43"/>
      <c r="F151" s="43"/>
      <c r="G151" s="43"/>
      <c r="H151" s="43"/>
    </row>
    <row r="152" spans="1:8" s="34" customFormat="1" ht="13.5">
      <c r="A152" s="42"/>
      <c r="B152" s="42"/>
      <c r="C152" s="43"/>
      <c r="D152" s="43"/>
      <c r="E152" s="43"/>
      <c r="F152" s="43"/>
      <c r="G152" s="43"/>
      <c r="H152" s="43"/>
    </row>
    <row r="153" spans="1:8" s="34" customFormat="1" ht="13.5">
      <c r="A153" s="42"/>
      <c r="B153" s="42"/>
      <c r="C153" s="43"/>
      <c r="D153" s="43"/>
      <c r="E153" s="43"/>
      <c r="F153" s="43"/>
      <c r="G153" s="43"/>
      <c r="H153" s="43"/>
    </row>
    <row r="154" spans="1:8" s="34" customFormat="1" ht="13.5">
      <c r="A154" s="42"/>
      <c r="B154" s="42"/>
      <c r="C154" s="43"/>
      <c r="D154" s="43"/>
      <c r="E154" s="43"/>
      <c r="F154" s="43"/>
      <c r="G154" s="43"/>
      <c r="H154" s="43"/>
    </row>
    <row r="155" spans="1:8" ht="13.5">
      <c r="A155" s="42"/>
      <c r="B155" s="42"/>
      <c r="C155" s="43"/>
      <c r="D155" s="43"/>
      <c r="E155" s="43"/>
      <c r="F155" s="43"/>
      <c r="G155" s="43"/>
      <c r="H155" s="43"/>
    </row>
    <row r="156" spans="1:8" ht="13.5">
      <c r="A156" s="42"/>
      <c r="B156" s="42"/>
      <c r="C156" s="43"/>
      <c r="D156" s="43"/>
      <c r="E156" s="43"/>
      <c r="F156" s="43"/>
      <c r="G156" s="43"/>
      <c r="H156" s="43"/>
    </row>
    <row r="157" spans="1:8" ht="13.5">
      <c r="A157" s="42"/>
      <c r="B157" s="42"/>
      <c r="C157" s="43"/>
      <c r="D157" s="43"/>
      <c r="E157" s="43"/>
      <c r="F157" s="43"/>
      <c r="G157" s="43"/>
      <c r="H157" s="43"/>
    </row>
    <row r="158" spans="1:8" ht="13.5">
      <c r="A158" s="42"/>
      <c r="B158" s="42"/>
      <c r="C158" s="43"/>
      <c r="D158" s="43"/>
      <c r="E158" s="43"/>
      <c r="F158" s="43"/>
      <c r="G158" s="43"/>
      <c r="H158" s="43"/>
    </row>
    <row r="159" spans="1:8" ht="13.5">
      <c r="A159" s="42"/>
      <c r="B159" s="42"/>
      <c r="C159" s="43"/>
      <c r="D159" s="43"/>
      <c r="E159" s="43"/>
      <c r="F159" s="43"/>
      <c r="G159" s="43"/>
      <c r="H159" s="43"/>
    </row>
    <row r="160" spans="1:8" ht="13.5">
      <c r="A160" s="42"/>
      <c r="B160" s="42"/>
      <c r="C160" s="43"/>
      <c r="D160" s="43"/>
      <c r="E160" s="43"/>
      <c r="F160" s="43"/>
      <c r="G160" s="43"/>
      <c r="H160" s="43"/>
    </row>
    <row r="161" spans="1:8" ht="13.5">
      <c r="A161" s="42"/>
      <c r="B161" s="42"/>
      <c r="C161" s="43"/>
      <c r="D161" s="43"/>
      <c r="E161" s="43"/>
      <c r="F161" s="43"/>
      <c r="G161" s="43"/>
      <c r="H161" s="43"/>
    </row>
    <row r="162" spans="1:8" ht="13.5">
      <c r="A162" s="42"/>
      <c r="B162" s="42"/>
      <c r="C162" s="43"/>
      <c r="D162" s="43"/>
      <c r="E162" s="43"/>
      <c r="F162" s="43"/>
      <c r="G162" s="43"/>
      <c r="H162" s="43"/>
    </row>
    <row r="163" spans="1:8" ht="13.5">
      <c r="A163" s="42"/>
      <c r="B163" s="42"/>
      <c r="C163" s="43"/>
      <c r="D163" s="43"/>
      <c r="E163" s="43"/>
      <c r="F163" s="43"/>
      <c r="G163" s="43"/>
      <c r="H163" s="43"/>
    </row>
    <row r="164" spans="1:8" ht="13.5">
      <c r="A164" s="42"/>
      <c r="B164" s="42"/>
      <c r="C164" s="43"/>
      <c r="D164" s="43"/>
      <c r="E164" s="43"/>
      <c r="F164" s="43"/>
      <c r="G164" s="43"/>
      <c r="H164" s="43"/>
    </row>
    <row r="165" spans="1:8" ht="13.5">
      <c r="A165" s="42"/>
      <c r="B165" s="42"/>
      <c r="C165" s="43"/>
      <c r="D165" s="43"/>
      <c r="E165" s="43"/>
      <c r="F165" s="43"/>
      <c r="G165" s="43"/>
      <c r="H165" s="43"/>
    </row>
    <row r="166" spans="1:8" ht="13.5">
      <c r="A166" s="42"/>
      <c r="B166" s="42"/>
      <c r="C166" s="43"/>
      <c r="D166" s="43"/>
      <c r="E166" s="43"/>
      <c r="F166" s="43"/>
      <c r="G166" s="43"/>
      <c r="H166" s="43"/>
    </row>
  </sheetData>
  <mergeCells count="7">
    <mergeCell ref="A1:H2"/>
    <mergeCell ref="F5:F6"/>
    <mergeCell ref="H5:H6"/>
    <mergeCell ref="G5:G6"/>
    <mergeCell ref="C5:E5"/>
    <mergeCell ref="B4:B7"/>
    <mergeCell ref="A4:A7"/>
  </mergeCells>
  <conditionalFormatting sqref="A8:H133">
    <cfRule type="expression" dxfId="27"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view="pageLayout" zoomScaleNormal="100" workbookViewId="0">
      <selection activeCell="G7" sqref="G7"/>
    </sheetView>
  </sheetViews>
  <sheetFormatPr baseColWidth="10" defaultColWidth="11.42578125" defaultRowHeight="12.75"/>
  <cols>
    <col min="1" max="1" width="4.5703125" style="36" customWidth="1"/>
    <col min="2" max="2" width="31" style="36" customWidth="1"/>
    <col min="3" max="3" width="8.7109375" style="37" customWidth="1"/>
    <col min="4" max="4" width="7.7109375" style="37" customWidth="1"/>
    <col min="5" max="5" width="8.28515625" style="160" customWidth="1"/>
    <col min="6" max="6" width="6.140625" style="164" customWidth="1"/>
    <col min="7" max="7" width="7.85546875" style="160" customWidth="1"/>
    <col min="8" max="9" width="8.5703125" style="160" customWidth="1"/>
    <col min="10" max="10" width="11.42578125" style="28" customWidth="1"/>
    <col min="11" max="24" width="1.7109375" style="28" customWidth="1"/>
    <col min="25" max="16384" width="11.42578125" style="28"/>
  </cols>
  <sheetData>
    <row r="1" spans="1:9">
      <c r="A1" s="285" t="s">
        <v>286</v>
      </c>
      <c r="B1" s="285"/>
      <c r="C1" s="285"/>
      <c r="D1" s="285"/>
      <c r="E1" s="285"/>
      <c r="F1" s="285"/>
      <c r="G1" s="285"/>
      <c r="H1" s="285"/>
      <c r="I1" s="285"/>
    </row>
    <row r="2" spans="1:9">
      <c r="A2" s="285" t="s">
        <v>305</v>
      </c>
      <c r="B2" s="285"/>
      <c r="C2" s="285"/>
      <c r="D2" s="285"/>
      <c r="E2" s="285"/>
      <c r="F2" s="285"/>
      <c r="G2" s="285"/>
      <c r="H2" s="285"/>
      <c r="I2" s="285"/>
    </row>
    <row r="3" spans="1:9">
      <c r="A3" s="285" t="s">
        <v>458</v>
      </c>
      <c r="B3" s="285"/>
      <c r="C3" s="285"/>
      <c r="D3" s="285"/>
      <c r="E3" s="285"/>
      <c r="F3" s="285"/>
      <c r="G3" s="285"/>
      <c r="H3" s="285"/>
      <c r="I3" s="285"/>
    </row>
    <row r="4" spans="1:9" ht="8.25" customHeight="1">
      <c r="A4" s="74"/>
      <c r="B4" s="74"/>
      <c r="C4" s="154"/>
      <c r="D4" s="154"/>
      <c r="E4" s="154"/>
      <c r="F4" s="162"/>
      <c r="G4" s="154"/>
      <c r="H4" s="154"/>
      <c r="I4" s="154"/>
    </row>
    <row r="5" spans="1:9" ht="19.899999999999999" customHeight="1">
      <c r="A5" s="286" t="s">
        <v>3</v>
      </c>
      <c r="B5" s="289" t="s">
        <v>0</v>
      </c>
      <c r="C5" s="292" t="s">
        <v>13</v>
      </c>
      <c r="D5" s="294"/>
      <c r="E5" s="294"/>
      <c r="F5" s="294"/>
      <c r="G5" s="293"/>
      <c r="H5" s="292" t="s">
        <v>250</v>
      </c>
      <c r="I5" s="294"/>
    </row>
    <row r="6" spans="1:9" ht="42.6" customHeight="1">
      <c r="A6" s="287"/>
      <c r="B6" s="290"/>
      <c r="C6" s="292" t="s">
        <v>14</v>
      </c>
      <c r="D6" s="293"/>
      <c r="E6" s="292" t="s">
        <v>15</v>
      </c>
      <c r="F6" s="294"/>
      <c r="G6" s="293"/>
      <c r="H6" s="171" t="s">
        <v>14</v>
      </c>
      <c r="I6" s="82" t="s">
        <v>287</v>
      </c>
    </row>
    <row r="7" spans="1:9" ht="66" customHeight="1">
      <c r="A7" s="287"/>
      <c r="B7" s="290"/>
      <c r="C7" s="168" t="s">
        <v>456</v>
      </c>
      <c r="D7" s="167" t="s">
        <v>442</v>
      </c>
      <c r="E7" s="284" t="s">
        <v>456</v>
      </c>
      <c r="F7" s="283"/>
      <c r="G7" s="167" t="s">
        <v>442</v>
      </c>
      <c r="H7" s="284" t="s">
        <v>456</v>
      </c>
      <c r="I7" s="295"/>
    </row>
    <row r="8" spans="1:9" s="31" customFormat="1" ht="42.6" customHeight="1">
      <c r="A8" s="288"/>
      <c r="B8" s="291"/>
      <c r="C8" s="171" t="s">
        <v>2</v>
      </c>
      <c r="D8" s="167" t="s">
        <v>75</v>
      </c>
      <c r="E8" s="171" t="s">
        <v>2</v>
      </c>
      <c r="F8" s="169" t="s">
        <v>285</v>
      </c>
      <c r="G8" s="167" t="s">
        <v>75</v>
      </c>
      <c r="H8" s="292" t="s">
        <v>2</v>
      </c>
      <c r="I8" s="294"/>
    </row>
    <row r="9" spans="1:9" s="31" customFormat="1" ht="11.25" customHeight="1">
      <c r="A9" s="46"/>
      <c r="B9" s="47"/>
      <c r="C9" s="155"/>
      <c r="D9" s="161"/>
      <c r="E9" s="155"/>
      <c r="F9" s="163"/>
      <c r="G9" s="161"/>
      <c r="H9" s="156"/>
      <c r="I9" s="156"/>
    </row>
    <row r="10" spans="1:9" s="32" customFormat="1" ht="13.5">
      <c r="A10" s="50" t="s">
        <v>16</v>
      </c>
      <c r="B10" s="83" t="s">
        <v>128</v>
      </c>
      <c r="C10" s="218">
        <v>278597</v>
      </c>
      <c r="D10" s="213">
        <f>278597/321524*100-100</f>
        <v>-13.351102872569385</v>
      </c>
      <c r="E10" s="218" t="s">
        <v>444</v>
      </c>
      <c r="F10" s="218" t="s">
        <v>444</v>
      </c>
      <c r="G10" s="218" t="s">
        <v>444</v>
      </c>
      <c r="H10" s="218">
        <v>244517</v>
      </c>
      <c r="I10" s="218" t="s">
        <v>444</v>
      </c>
    </row>
    <row r="11" spans="1:9" s="33" customFormat="1" ht="13.5">
      <c r="A11" s="50" t="s">
        <v>17</v>
      </c>
      <c r="B11" s="83" t="s">
        <v>129</v>
      </c>
      <c r="C11" s="218" t="s">
        <v>444</v>
      </c>
      <c r="D11" s="245" t="s">
        <v>444</v>
      </c>
      <c r="E11" s="220">
        <v>0</v>
      </c>
      <c r="F11" s="220">
        <v>0</v>
      </c>
      <c r="G11" s="220">
        <v>0</v>
      </c>
      <c r="H11" s="218" t="s">
        <v>444</v>
      </c>
      <c r="I11" s="220">
        <v>0</v>
      </c>
    </row>
    <row r="12" spans="1:9" s="34" customFormat="1" ht="13.5">
      <c r="A12" s="50" t="s">
        <v>18</v>
      </c>
      <c r="B12" s="83" t="s">
        <v>130</v>
      </c>
      <c r="C12" s="218">
        <v>97341</v>
      </c>
      <c r="D12" s="245" t="s">
        <v>444</v>
      </c>
      <c r="E12" s="218" t="s">
        <v>444</v>
      </c>
      <c r="F12" s="218" t="s">
        <v>444</v>
      </c>
      <c r="G12" s="218" t="s">
        <v>444</v>
      </c>
      <c r="H12" s="218">
        <v>84860</v>
      </c>
      <c r="I12" s="218" t="s">
        <v>444</v>
      </c>
    </row>
    <row r="13" spans="1:9" s="35" customFormat="1" ht="13.5">
      <c r="A13" s="52" t="s">
        <v>148</v>
      </c>
      <c r="B13" s="84" t="s">
        <v>149</v>
      </c>
      <c r="C13" s="218">
        <v>70730</v>
      </c>
      <c r="D13" s="245" t="s">
        <v>444</v>
      </c>
      <c r="E13" s="220">
        <v>0</v>
      </c>
      <c r="F13" s="220">
        <v>0</v>
      </c>
      <c r="G13" s="220">
        <v>0</v>
      </c>
      <c r="H13" s="218">
        <v>58250</v>
      </c>
      <c r="I13" s="220">
        <v>0</v>
      </c>
    </row>
    <row r="14" spans="1:9" s="33" customFormat="1" ht="13.5">
      <c r="A14" s="50" t="s">
        <v>19</v>
      </c>
      <c r="B14" s="78" t="s">
        <v>131</v>
      </c>
      <c r="C14" s="218">
        <v>35696647</v>
      </c>
      <c r="D14" s="213">
        <f>35696647/35697348*100-100</f>
        <v>-1.9637313113634036E-3</v>
      </c>
      <c r="E14" s="218">
        <v>14380599</v>
      </c>
      <c r="F14" s="247">
        <f>14380599/35696647*100</f>
        <v>40.285573600231977</v>
      </c>
      <c r="G14" s="247">
        <f>14380599/13482921*100-100</f>
        <v>6.6578896368227731</v>
      </c>
      <c r="H14" s="218">
        <v>32280024</v>
      </c>
      <c r="I14" s="218">
        <v>12966153</v>
      </c>
    </row>
    <row r="15" spans="1:9" s="33" customFormat="1" ht="13.5">
      <c r="A15" s="50" t="s">
        <v>20</v>
      </c>
      <c r="B15" s="78" t="s">
        <v>105</v>
      </c>
      <c r="C15" s="218">
        <v>6012482</v>
      </c>
      <c r="D15" s="213">
        <f>6012482/6240767*100-100</f>
        <v>-3.6579638368168617</v>
      </c>
      <c r="E15" s="218">
        <v>1235180</v>
      </c>
      <c r="F15" s="219">
        <f>1235180/6012482*100</f>
        <v>20.543595806191188</v>
      </c>
      <c r="G15" s="219">
        <f>1235180/1302264*100-100</f>
        <v>-5.1513364417660341</v>
      </c>
      <c r="H15" s="218">
        <v>5323311</v>
      </c>
      <c r="I15" s="218">
        <v>1159945</v>
      </c>
    </row>
    <row r="16" spans="1:9" s="34" customFormat="1" ht="13.5">
      <c r="A16" s="52" t="s">
        <v>21</v>
      </c>
      <c r="B16" s="85" t="s">
        <v>106</v>
      </c>
      <c r="C16" s="220">
        <v>1522602</v>
      </c>
      <c r="D16" s="215">
        <f>1522602/1571303*100-100</f>
        <v>-3.0994022158679684</v>
      </c>
      <c r="E16" s="220">
        <v>226650</v>
      </c>
      <c r="F16" s="221">
        <f>226650/1522602*100</f>
        <v>14.885702238667756</v>
      </c>
      <c r="G16" s="221">
        <f>226650/269140*100-100</f>
        <v>-15.787322583042283</v>
      </c>
      <c r="H16" s="220"/>
      <c r="I16" s="220">
        <v>213124</v>
      </c>
    </row>
    <row r="17" spans="1:9" s="34" customFormat="1" ht="13.5">
      <c r="A17" s="52" t="s">
        <v>150</v>
      </c>
      <c r="B17" s="85" t="s">
        <v>151</v>
      </c>
      <c r="C17" s="218">
        <v>433472</v>
      </c>
      <c r="D17" s="245" t="s">
        <v>444</v>
      </c>
      <c r="E17" s="218">
        <v>56339</v>
      </c>
      <c r="F17" s="253">
        <f>56339/433472*100</f>
        <v>12.997148604754171</v>
      </c>
      <c r="G17" s="245" t="s">
        <v>444</v>
      </c>
      <c r="H17" s="218">
        <v>422253</v>
      </c>
      <c r="I17" s="218">
        <v>56339</v>
      </c>
    </row>
    <row r="18" spans="1:9" s="34" customFormat="1" ht="13.5">
      <c r="A18" s="52" t="s">
        <v>152</v>
      </c>
      <c r="B18" s="85" t="s">
        <v>153</v>
      </c>
      <c r="C18" s="220">
        <v>1084420</v>
      </c>
      <c r="D18" s="215">
        <f>1084420/1189927*100-100</f>
        <v>-8.8666783760684496</v>
      </c>
      <c r="E18" s="220">
        <v>170311</v>
      </c>
      <c r="F18" s="221">
        <f>170311/1084420*100</f>
        <v>15.705261798933993</v>
      </c>
      <c r="G18" s="221">
        <f>170311/204353*100-100</f>
        <v>-16.658429286577643</v>
      </c>
      <c r="H18" s="218">
        <v>918983</v>
      </c>
      <c r="I18" s="220">
        <v>156785</v>
      </c>
    </row>
    <row r="19" spans="1:9" s="33" customFormat="1" ht="13.5">
      <c r="A19" s="52" t="s">
        <v>154</v>
      </c>
      <c r="B19" s="85" t="s">
        <v>155</v>
      </c>
      <c r="C19" s="222">
        <v>152067</v>
      </c>
      <c r="D19" s="215">
        <f>152067/164200*100-100</f>
        <v>-7.389159561510354</v>
      </c>
      <c r="E19" s="218" t="s">
        <v>444</v>
      </c>
      <c r="F19" s="218" t="s">
        <v>444</v>
      </c>
      <c r="G19" s="218" t="s">
        <v>444</v>
      </c>
      <c r="H19" s="220">
        <v>141266</v>
      </c>
      <c r="I19" s="218" t="s">
        <v>444</v>
      </c>
    </row>
    <row r="20" spans="1:9" s="35" customFormat="1" ht="13.5">
      <c r="A20" s="52" t="s">
        <v>156</v>
      </c>
      <c r="B20" s="85" t="s">
        <v>157</v>
      </c>
      <c r="C20" s="220">
        <v>372355</v>
      </c>
      <c r="D20" s="215">
        <f>372355/358861*100-100</f>
        <v>3.7602302841490314</v>
      </c>
      <c r="E20" s="220">
        <v>52491</v>
      </c>
      <c r="F20" s="221">
        <f>52491/372355*100</f>
        <v>14.097031059069973</v>
      </c>
      <c r="G20" s="221">
        <f>52491/46688*100-100</f>
        <v>12.429318026045237</v>
      </c>
      <c r="H20" s="220">
        <v>362127</v>
      </c>
      <c r="I20" s="220">
        <v>51750</v>
      </c>
    </row>
    <row r="21" spans="1:9" s="34" customFormat="1" ht="13.5">
      <c r="A21" s="52" t="s">
        <v>158</v>
      </c>
      <c r="B21" s="85" t="s">
        <v>159</v>
      </c>
      <c r="C21" s="220">
        <v>981722</v>
      </c>
      <c r="D21" s="215">
        <f>981722/979316*100-100</f>
        <v>0.24568167986636524</v>
      </c>
      <c r="E21" s="220">
        <v>239673</v>
      </c>
      <c r="F21" s="221">
        <f>239673/981722*100</f>
        <v>24.4135305106741</v>
      </c>
      <c r="G21" s="221">
        <f>239673/247383*100-100</f>
        <v>-3.1166248287069038</v>
      </c>
      <c r="H21" s="220">
        <v>981474</v>
      </c>
      <c r="I21" s="220">
        <v>239673</v>
      </c>
    </row>
    <row r="22" spans="1:9" s="34" customFormat="1" ht="13.5">
      <c r="A22" s="52" t="s">
        <v>160</v>
      </c>
      <c r="B22" s="85" t="s">
        <v>161</v>
      </c>
      <c r="C22" s="220">
        <v>981722</v>
      </c>
      <c r="D22" s="215">
        <f>981722/979316*100-100</f>
        <v>0.24568167986636524</v>
      </c>
      <c r="E22" s="220">
        <v>239673</v>
      </c>
      <c r="F22" s="221">
        <f>239673/981722*100</f>
        <v>24.4135305106741</v>
      </c>
      <c r="G22" s="221">
        <f>239673/247383*100-100</f>
        <v>-3.1166248287069038</v>
      </c>
      <c r="H22" s="220">
        <v>981474</v>
      </c>
      <c r="I22" s="220">
        <v>239673</v>
      </c>
    </row>
    <row r="23" spans="1:9" s="34" customFormat="1" ht="13.5">
      <c r="A23" s="52" t="s">
        <v>22</v>
      </c>
      <c r="B23" s="85" t="s">
        <v>107</v>
      </c>
      <c r="C23" s="220">
        <v>638676</v>
      </c>
      <c r="D23" s="215">
        <f>638676/644185*100-100</f>
        <v>-0.85518911492816585</v>
      </c>
      <c r="E23" s="218" t="s">
        <v>444</v>
      </c>
      <c r="F23" s="218" t="s">
        <v>444</v>
      </c>
      <c r="G23" s="218" t="s">
        <v>444</v>
      </c>
      <c r="H23" s="220">
        <v>590458</v>
      </c>
      <c r="I23" s="218" t="s">
        <v>444</v>
      </c>
    </row>
    <row r="24" spans="1:9" s="34" customFormat="1" ht="13.5">
      <c r="A24" s="52" t="s">
        <v>23</v>
      </c>
      <c r="B24" s="77" t="s">
        <v>108</v>
      </c>
      <c r="C24" s="220">
        <v>1137533</v>
      </c>
      <c r="D24" s="215">
        <f>1137533/1308695*100-100</f>
        <v>-13.078830437955375</v>
      </c>
      <c r="E24" s="220">
        <v>429621</v>
      </c>
      <c r="F24" s="221">
        <f>429621/1137533*100</f>
        <v>37.767783440128774</v>
      </c>
      <c r="G24" s="221">
        <f>429621/458179*100-100</f>
        <v>-6.2329351628948473</v>
      </c>
      <c r="H24" s="220">
        <v>1024741</v>
      </c>
      <c r="I24" s="220">
        <v>384143</v>
      </c>
    </row>
    <row r="25" spans="1:9" s="34" customFormat="1" ht="13.5">
      <c r="A25" s="52" t="s">
        <v>162</v>
      </c>
      <c r="B25" s="85" t="s">
        <v>163</v>
      </c>
      <c r="C25" s="220">
        <v>562630</v>
      </c>
      <c r="D25" s="215">
        <f>562630/575262*100-100</f>
        <v>-2.1958690127281102</v>
      </c>
      <c r="E25" s="220">
        <v>213929</v>
      </c>
      <c r="F25" s="221">
        <f>213929/562630*100</f>
        <v>38.023034676430335</v>
      </c>
      <c r="G25" s="221">
        <f>213929/218169*100-100</f>
        <v>-1.9434475108745914</v>
      </c>
      <c r="H25" s="220">
        <v>554138</v>
      </c>
      <c r="I25" s="220">
        <v>213911</v>
      </c>
    </row>
    <row r="26" spans="1:9" s="35" customFormat="1" ht="13.5">
      <c r="A26" s="52" t="s">
        <v>164</v>
      </c>
      <c r="B26" s="85" t="s">
        <v>281</v>
      </c>
      <c r="C26" s="220">
        <v>358349</v>
      </c>
      <c r="D26" s="215">
        <f>358439/433703*100-100</f>
        <v>-17.353811248711679</v>
      </c>
      <c r="E26" s="220">
        <v>168688</v>
      </c>
      <c r="F26" s="221">
        <f>168688/358349*100</f>
        <v>47.073662825904357</v>
      </c>
      <c r="G26" s="221">
        <f>168688/184364*100-100</f>
        <v>-8.5027445705235323</v>
      </c>
      <c r="H26" s="220">
        <v>258452</v>
      </c>
      <c r="I26" s="220">
        <v>123448</v>
      </c>
    </row>
    <row r="27" spans="1:9" s="34" customFormat="1" ht="13.5">
      <c r="A27" s="52" t="s">
        <v>165</v>
      </c>
      <c r="B27" s="85" t="s">
        <v>166</v>
      </c>
      <c r="C27" s="220">
        <v>686887</v>
      </c>
      <c r="D27" s="215">
        <f>686887/700480*100-100</f>
        <v>-1.9405264961169451</v>
      </c>
      <c r="E27" s="220">
        <v>56053</v>
      </c>
      <c r="F27" s="221">
        <f>56053/686887*100</f>
        <v>8.1604397812158336</v>
      </c>
      <c r="G27" s="221">
        <f>56053/68688*100-100</f>
        <v>-18.394770556720246</v>
      </c>
      <c r="H27" s="220">
        <v>418606</v>
      </c>
      <c r="I27" s="220">
        <v>49464</v>
      </c>
    </row>
    <row r="28" spans="1:9" s="34" customFormat="1" ht="13.5">
      <c r="A28" s="52" t="s">
        <v>167</v>
      </c>
      <c r="B28" s="85" t="s">
        <v>168</v>
      </c>
      <c r="C28" s="220">
        <v>641788</v>
      </c>
      <c r="D28" s="215">
        <f>641788/657583*100-100</f>
        <v>-2.401978153328173</v>
      </c>
      <c r="E28" s="220">
        <v>46901</v>
      </c>
      <c r="F28" s="221">
        <f>46901/641788*100</f>
        <v>7.3078649024288396</v>
      </c>
      <c r="G28" s="221">
        <f>46901/60234*100-100</f>
        <v>-22.135338845170509</v>
      </c>
      <c r="H28" s="220">
        <v>383979</v>
      </c>
      <c r="I28" s="220">
        <v>40533</v>
      </c>
    </row>
    <row r="29" spans="1:9" s="33" customFormat="1" ht="13.5">
      <c r="A29" s="50" t="s">
        <v>24</v>
      </c>
      <c r="B29" s="78" t="s">
        <v>109</v>
      </c>
      <c r="C29" s="218">
        <v>391200</v>
      </c>
      <c r="D29" s="213">
        <f>391200/440675*100-100</f>
        <v>-11.227094797753452</v>
      </c>
      <c r="E29" s="218">
        <v>16705</v>
      </c>
      <c r="F29" s="219">
        <f>16705/391200*100</f>
        <v>4.2701942740286301</v>
      </c>
      <c r="G29" s="219">
        <f>16705/16308*100-100</f>
        <v>2.4343880304145102</v>
      </c>
      <c r="H29" s="218">
        <v>389945</v>
      </c>
      <c r="I29" s="218">
        <v>16639</v>
      </c>
    </row>
    <row r="30" spans="1:9" s="34" customFormat="1" ht="24.2" customHeight="1">
      <c r="A30" s="52" t="s">
        <v>169</v>
      </c>
      <c r="B30" s="85" t="s">
        <v>384</v>
      </c>
      <c r="C30" s="220">
        <v>229492</v>
      </c>
      <c r="D30" s="215">
        <f>229492/276164*100-100</f>
        <v>-16.900102837444422</v>
      </c>
      <c r="E30" s="218" t="s">
        <v>444</v>
      </c>
      <c r="F30" s="218" t="s">
        <v>444</v>
      </c>
      <c r="G30" s="218" t="s">
        <v>444</v>
      </c>
      <c r="H30" s="220">
        <v>228643</v>
      </c>
      <c r="I30" s="218" t="s">
        <v>444</v>
      </c>
    </row>
    <row r="31" spans="1:9" s="33" customFormat="1" ht="13.5">
      <c r="A31" s="50" t="s">
        <v>25</v>
      </c>
      <c r="B31" s="78" t="s">
        <v>73</v>
      </c>
      <c r="C31" s="218" t="s">
        <v>444</v>
      </c>
      <c r="D31" s="245" t="s">
        <v>444</v>
      </c>
      <c r="E31" s="218" t="s">
        <v>444</v>
      </c>
      <c r="F31" s="218" t="s">
        <v>444</v>
      </c>
      <c r="G31" s="218" t="s">
        <v>444</v>
      </c>
      <c r="H31" s="218" t="s">
        <v>444</v>
      </c>
      <c r="I31" s="218" t="s">
        <v>444</v>
      </c>
    </row>
    <row r="32" spans="1:9" s="33" customFormat="1" ht="13.5">
      <c r="A32" s="50" t="s">
        <v>138</v>
      </c>
      <c r="B32" s="78" t="s">
        <v>170</v>
      </c>
      <c r="C32" s="218">
        <v>140272</v>
      </c>
      <c r="D32" s="213">
        <f>140272/134083*100-100</f>
        <v>4.6157976775579357</v>
      </c>
      <c r="E32" s="218">
        <v>48626</v>
      </c>
      <c r="F32" s="219">
        <f>48626/140272*100</f>
        <v>34.665507014942399</v>
      </c>
      <c r="G32" s="219">
        <f>48626/43768*100-100</f>
        <v>11.099433375982443</v>
      </c>
      <c r="H32" s="218">
        <v>94050</v>
      </c>
      <c r="I32" s="218">
        <v>43010</v>
      </c>
    </row>
    <row r="33" spans="1:9" s="34" customFormat="1" ht="13.5">
      <c r="A33" s="52" t="s">
        <v>171</v>
      </c>
      <c r="B33" s="85" t="s">
        <v>172</v>
      </c>
      <c r="C33" s="218">
        <v>118614</v>
      </c>
      <c r="D33" s="245" t="s">
        <v>444</v>
      </c>
      <c r="E33" s="218">
        <v>29743</v>
      </c>
      <c r="F33" s="218">
        <f>29743/118614*100</f>
        <v>25.075454836697187</v>
      </c>
      <c r="G33" s="218" t="s">
        <v>444</v>
      </c>
      <c r="H33" s="218">
        <v>72393</v>
      </c>
      <c r="I33" s="218">
        <v>24127</v>
      </c>
    </row>
    <row r="34" spans="1:9" s="34" customFormat="1" ht="24.4" customHeight="1">
      <c r="A34" s="52" t="s">
        <v>173</v>
      </c>
      <c r="B34" s="85" t="s">
        <v>385</v>
      </c>
      <c r="C34" s="220">
        <v>71052</v>
      </c>
      <c r="D34" s="245" t="s">
        <v>444</v>
      </c>
      <c r="E34" s="218" t="s">
        <v>444</v>
      </c>
      <c r="F34" s="218" t="s">
        <v>444</v>
      </c>
      <c r="G34" s="218" t="s">
        <v>444</v>
      </c>
      <c r="H34" s="220">
        <v>25107</v>
      </c>
      <c r="I34" s="218" t="s">
        <v>444</v>
      </c>
    </row>
    <row r="35" spans="1:9" s="33" customFormat="1" ht="13.5">
      <c r="A35" s="50" t="s">
        <v>174</v>
      </c>
      <c r="B35" s="78" t="s">
        <v>175</v>
      </c>
      <c r="C35" s="218" t="s">
        <v>444</v>
      </c>
      <c r="D35" s="245" t="s">
        <v>444</v>
      </c>
      <c r="E35" s="218" t="s">
        <v>444</v>
      </c>
      <c r="F35" s="218" t="s">
        <v>444</v>
      </c>
      <c r="G35" s="218" t="s">
        <v>444</v>
      </c>
      <c r="H35" s="218" t="s">
        <v>444</v>
      </c>
      <c r="I35" s="218" t="s">
        <v>444</v>
      </c>
    </row>
    <row r="36" spans="1:9" s="33" customFormat="1" ht="24.4" customHeight="1">
      <c r="A36" s="50" t="s">
        <v>26</v>
      </c>
      <c r="B36" s="78" t="s">
        <v>386</v>
      </c>
      <c r="C36" s="218">
        <v>140782</v>
      </c>
      <c r="D36" s="213">
        <f>140782/143665*100-100</f>
        <v>-2.0067518184665687</v>
      </c>
      <c r="E36" s="218">
        <v>19133</v>
      </c>
      <c r="F36" s="219">
        <f>16133/140782*100</f>
        <v>11.459561591680755</v>
      </c>
      <c r="G36" s="219">
        <f>19133/19094*100-100</f>
        <v>0.20425264480988403</v>
      </c>
      <c r="H36" s="218">
        <v>130859</v>
      </c>
      <c r="I36" s="218">
        <v>18756</v>
      </c>
    </row>
    <row r="37" spans="1:9" s="35" customFormat="1" ht="13.5">
      <c r="A37" s="52" t="s">
        <v>176</v>
      </c>
      <c r="B37" s="85" t="s">
        <v>177</v>
      </c>
      <c r="C37" s="220">
        <v>57171</v>
      </c>
      <c r="D37" s="215">
        <f>57171/58610*100-100</f>
        <v>-2.4552124210885466</v>
      </c>
      <c r="E37" s="220">
        <v>8319</v>
      </c>
      <c r="F37" s="221">
        <f>8319/57171*100</f>
        <v>14.551083591331269</v>
      </c>
      <c r="G37" s="221">
        <f>8319/7414*100-100</f>
        <v>12.20663609387644</v>
      </c>
      <c r="H37" s="220">
        <v>55898</v>
      </c>
      <c r="I37" s="220">
        <v>8130</v>
      </c>
    </row>
    <row r="38" spans="1:9" s="34" customFormat="1" ht="24.4" customHeight="1">
      <c r="A38" s="52" t="s">
        <v>178</v>
      </c>
      <c r="B38" s="85" t="s">
        <v>387</v>
      </c>
      <c r="C38" s="220">
        <v>83611</v>
      </c>
      <c r="D38" s="215">
        <f>83611/85055*100-100</f>
        <v>-1.6977250014696352</v>
      </c>
      <c r="E38" s="220">
        <v>10814</v>
      </c>
      <c r="F38" s="221">
        <f>10814/83611*100</f>
        <v>12.933704895288898</v>
      </c>
      <c r="G38" s="221">
        <f>10814/11680*100-100</f>
        <v>-7.4143835616438309</v>
      </c>
      <c r="H38" s="220">
        <v>74962</v>
      </c>
      <c r="I38" s="220">
        <v>10626</v>
      </c>
    </row>
    <row r="39" spans="1:9" s="35" customFormat="1" ht="24.4" customHeight="1">
      <c r="A39" s="52" t="s">
        <v>179</v>
      </c>
      <c r="B39" s="85" t="s">
        <v>388</v>
      </c>
      <c r="C39" s="220">
        <v>56743</v>
      </c>
      <c r="D39" s="215">
        <f>56743/56448*100-100</f>
        <v>0.52260487528343447</v>
      </c>
      <c r="E39" s="218" t="s">
        <v>444</v>
      </c>
      <c r="F39" s="218" t="s">
        <v>444</v>
      </c>
      <c r="G39" s="218" t="s">
        <v>444</v>
      </c>
      <c r="H39" s="220">
        <v>50449</v>
      </c>
      <c r="I39" s="218" t="s">
        <v>444</v>
      </c>
    </row>
    <row r="40" spans="1:9" s="33" customFormat="1" ht="13.5">
      <c r="A40" s="50" t="s">
        <v>27</v>
      </c>
      <c r="B40" s="76" t="s">
        <v>110</v>
      </c>
      <c r="C40" s="218">
        <v>1088177</v>
      </c>
      <c r="D40" s="213">
        <f>1088177/1133633*100-100</f>
        <v>-4.0097633008213478</v>
      </c>
      <c r="E40" s="218">
        <v>370910</v>
      </c>
      <c r="F40" s="219">
        <f>370910/1088177*100</f>
        <v>34.08544749613344</v>
      </c>
      <c r="G40" s="219">
        <f>370910/374119*100-100</f>
        <v>-0.85774847040647728</v>
      </c>
      <c r="H40" s="218">
        <v>1032364</v>
      </c>
      <c r="I40" s="218">
        <v>351470</v>
      </c>
    </row>
    <row r="41" spans="1:9" s="34" customFormat="1" ht="13.5">
      <c r="A41" s="52" t="s">
        <v>180</v>
      </c>
      <c r="B41" s="85" t="s">
        <v>181</v>
      </c>
      <c r="C41" s="220">
        <v>491211</v>
      </c>
      <c r="D41" s="215">
        <f>491211/497568*100-100</f>
        <v>-1.2776143160331799</v>
      </c>
      <c r="E41" s="220">
        <v>246849</v>
      </c>
      <c r="F41" s="221">
        <f>246849/491211*100</f>
        <v>50.253149868386494</v>
      </c>
      <c r="G41" s="221">
        <f>246849/261033*100-100</f>
        <v>-5.4337957269770527</v>
      </c>
      <c r="H41" s="220">
        <v>489146</v>
      </c>
      <c r="I41" s="220">
        <v>246849</v>
      </c>
    </row>
    <row r="42" spans="1:9" s="34" customFormat="1" ht="13.5">
      <c r="A42" s="52" t="s">
        <v>182</v>
      </c>
      <c r="B42" s="85" t="s">
        <v>183</v>
      </c>
      <c r="C42" s="220">
        <v>596966</v>
      </c>
      <c r="D42" s="215">
        <f>596966/636065*100-100</f>
        <v>-6.1470132769449748</v>
      </c>
      <c r="E42" s="220">
        <v>124061</v>
      </c>
      <c r="F42" s="221">
        <f>124061/596966*100</f>
        <v>20.7819205783914</v>
      </c>
      <c r="G42" s="221">
        <f>124061/113086*100-100</f>
        <v>9.7050032718462091</v>
      </c>
      <c r="H42" s="220">
        <v>543218</v>
      </c>
      <c r="I42" s="220">
        <v>104621</v>
      </c>
    </row>
    <row r="43" spans="1:9" s="34" customFormat="1" ht="24.4" customHeight="1">
      <c r="A43" s="52" t="s">
        <v>184</v>
      </c>
      <c r="B43" s="85" t="s">
        <v>389</v>
      </c>
      <c r="C43" s="220">
        <v>338639</v>
      </c>
      <c r="D43" s="215">
        <f>338639/373742*100-100</f>
        <v>-9.3923080627812681</v>
      </c>
      <c r="E43" s="220">
        <v>47452</v>
      </c>
      <c r="F43" s="221">
        <f>47452/338639*100</f>
        <v>14.012562049852498</v>
      </c>
      <c r="G43" s="221">
        <f>47452/45735*100-100</f>
        <v>3.7542363616486227</v>
      </c>
      <c r="H43" s="220">
        <v>330500</v>
      </c>
      <c r="I43" s="220">
        <v>46322</v>
      </c>
    </row>
    <row r="44" spans="1:9" s="33" customFormat="1" ht="24.4" customHeight="1">
      <c r="A44" s="50" t="s">
        <v>28</v>
      </c>
      <c r="B44" s="78" t="s">
        <v>390</v>
      </c>
      <c r="C44" s="223">
        <v>799130</v>
      </c>
      <c r="D44" s="213">
        <f>799130/823110*100-100</f>
        <v>-2.9133408657409063</v>
      </c>
      <c r="E44" s="218">
        <v>114554</v>
      </c>
      <c r="F44" s="219">
        <f>114554/799130*100</f>
        <v>14.334839137562099</v>
      </c>
      <c r="G44" s="219">
        <f>114554/118642*100-100</f>
        <v>-3.4456600529323538</v>
      </c>
      <c r="H44" s="218">
        <v>780555</v>
      </c>
      <c r="I44" s="218">
        <v>114302</v>
      </c>
    </row>
    <row r="45" spans="1:9" s="34" customFormat="1" ht="13.5">
      <c r="A45" s="52" t="s">
        <v>185</v>
      </c>
      <c r="B45" s="85" t="s">
        <v>186</v>
      </c>
      <c r="C45" s="224">
        <v>799130</v>
      </c>
      <c r="D45" s="213">
        <f>799130/823110*100-100</f>
        <v>-2.9133408657409063</v>
      </c>
      <c r="E45" s="220">
        <v>114554</v>
      </c>
      <c r="F45" s="219">
        <f>114554/799130*100</f>
        <v>14.334839137562099</v>
      </c>
      <c r="G45" s="219">
        <f>114554/118642*100-100</f>
        <v>-3.4456600529323538</v>
      </c>
      <c r="H45" s="220">
        <v>780555</v>
      </c>
      <c r="I45" s="220">
        <v>114302</v>
      </c>
    </row>
    <row r="46" spans="1:9" s="33" customFormat="1" ht="13.5">
      <c r="A46" s="52" t="s">
        <v>187</v>
      </c>
      <c r="B46" s="85" t="s">
        <v>280</v>
      </c>
      <c r="C46" s="220">
        <v>661710</v>
      </c>
      <c r="D46" s="215">
        <f>661710/716698*100-100</f>
        <v>-7.6724087411992201</v>
      </c>
      <c r="E46" s="220">
        <v>114542</v>
      </c>
      <c r="F46" s="221">
        <f>114542/661710*100</f>
        <v>17.309999848876394</v>
      </c>
      <c r="G46" s="221">
        <f>114542/118226*100-100</f>
        <v>-3.1160658400013546</v>
      </c>
      <c r="H46" s="220">
        <v>655337</v>
      </c>
      <c r="I46" s="220">
        <v>114290</v>
      </c>
    </row>
    <row r="47" spans="1:9" s="34" customFormat="1" ht="24.4" customHeight="1">
      <c r="A47" s="52" t="s">
        <v>188</v>
      </c>
      <c r="B47" s="85" t="s">
        <v>391</v>
      </c>
      <c r="C47" s="220">
        <v>38843</v>
      </c>
      <c r="D47" s="215">
        <f>38843/42916*100-100</f>
        <v>-9.4906328641998385</v>
      </c>
      <c r="E47" s="218" t="s">
        <v>444</v>
      </c>
      <c r="F47" s="218" t="s">
        <v>444</v>
      </c>
      <c r="G47" s="218" t="s">
        <v>444</v>
      </c>
      <c r="H47" s="220">
        <v>38843</v>
      </c>
      <c r="I47" s="218" t="s">
        <v>444</v>
      </c>
    </row>
    <row r="48" spans="1:9" s="33" customFormat="1" ht="13.5">
      <c r="A48" s="50" t="s">
        <v>29</v>
      </c>
      <c r="B48" s="76" t="s">
        <v>111</v>
      </c>
      <c r="C48" s="218" t="s">
        <v>444</v>
      </c>
      <c r="D48" s="245" t="s">
        <v>444</v>
      </c>
      <c r="E48" s="218">
        <v>539725</v>
      </c>
      <c r="F48" s="218" t="s">
        <v>444</v>
      </c>
      <c r="G48" s="218" t="s">
        <v>444</v>
      </c>
      <c r="H48" s="218" t="s">
        <v>444</v>
      </c>
      <c r="I48" s="218">
        <v>539438</v>
      </c>
    </row>
    <row r="49" spans="1:9" s="33" customFormat="1" ht="13.5">
      <c r="A49" s="50" t="s">
        <v>30</v>
      </c>
      <c r="B49" s="78" t="s">
        <v>112</v>
      </c>
      <c r="C49" s="218">
        <v>2538428</v>
      </c>
      <c r="D49" s="213">
        <f>2538428/2638086*100-100</f>
        <v>-3.7776630481341442</v>
      </c>
      <c r="E49" s="218">
        <v>1556870</v>
      </c>
      <c r="F49" s="219">
        <f>1556870/2538428*100</f>
        <v>61.332052750757562</v>
      </c>
      <c r="G49" s="219">
        <f>1556870/1622252*100-100</f>
        <v>-4.0303232789973436</v>
      </c>
      <c r="H49" s="218">
        <v>2413874</v>
      </c>
      <c r="I49" s="218">
        <v>1494489</v>
      </c>
    </row>
    <row r="50" spans="1:9" s="34" customFormat="1" ht="50.25" customHeight="1">
      <c r="A50" s="52" t="s">
        <v>31</v>
      </c>
      <c r="B50" s="85" t="s">
        <v>392</v>
      </c>
      <c r="C50" s="220">
        <v>1465349</v>
      </c>
      <c r="D50" s="215">
        <f>1465349/1611281*100-100</f>
        <v>-9.0568932420850246</v>
      </c>
      <c r="E50" s="220">
        <v>997832</v>
      </c>
      <c r="F50" s="221">
        <f>997832/1465349*100</f>
        <v>68.095177326357074</v>
      </c>
      <c r="G50" s="221">
        <f>997832/1087003*100-100</f>
        <v>-8.2033812234188872</v>
      </c>
      <c r="H50" s="220">
        <v>1408239</v>
      </c>
      <c r="I50" s="220">
        <v>956977</v>
      </c>
    </row>
    <row r="51" spans="1:9" s="34" customFormat="1" ht="13.5">
      <c r="A51" s="52" t="s">
        <v>189</v>
      </c>
      <c r="B51" s="85" t="s">
        <v>190</v>
      </c>
      <c r="C51" s="220">
        <v>203717</v>
      </c>
      <c r="D51" s="215">
        <f>203325/190325*100-100</f>
        <v>6.8304216471824617</v>
      </c>
      <c r="E51" s="220">
        <v>124050</v>
      </c>
      <c r="F51" s="221">
        <f>124050/203717*100</f>
        <v>60.893298055636002</v>
      </c>
      <c r="G51" s="221">
        <f>124050/107875*100-100</f>
        <v>14.994206257242169</v>
      </c>
      <c r="H51" s="220">
        <v>169456</v>
      </c>
      <c r="I51" s="220">
        <v>93746</v>
      </c>
    </row>
    <row r="52" spans="1:9" s="34" customFormat="1" ht="13.5">
      <c r="A52" s="52" t="s">
        <v>191</v>
      </c>
      <c r="B52" s="85" t="s">
        <v>192</v>
      </c>
      <c r="C52" s="220">
        <v>201478</v>
      </c>
      <c r="D52" s="215">
        <f>201478/200214*100-100</f>
        <v>0.63132448280340725</v>
      </c>
      <c r="E52" s="220">
        <v>95726</v>
      </c>
      <c r="F52" s="221">
        <f>95726/201478*100</f>
        <v>47.511887153932442</v>
      </c>
      <c r="G52" s="221">
        <f>95726/97066*100-100</f>
        <v>-1.3805039869779279</v>
      </c>
      <c r="H52" s="220">
        <v>179276</v>
      </c>
      <c r="I52" s="220">
        <v>85174</v>
      </c>
    </row>
    <row r="53" spans="1:9" s="34" customFormat="1" ht="13.5">
      <c r="A53" s="52" t="s">
        <v>193</v>
      </c>
      <c r="B53" s="85" t="s">
        <v>194</v>
      </c>
      <c r="C53" s="220">
        <v>194975</v>
      </c>
      <c r="D53" s="215">
        <f>194975/205544*100-100</f>
        <v>-5.1419647374771387</v>
      </c>
      <c r="E53" s="220">
        <v>93110</v>
      </c>
      <c r="F53" s="221">
        <f>93110/194975*100</f>
        <v>47.754840364149246</v>
      </c>
      <c r="G53" s="221">
        <f>93110/104687*100-100</f>
        <v>-11.058679683246254</v>
      </c>
      <c r="H53" s="220">
        <v>155098</v>
      </c>
      <c r="I53" s="220">
        <v>81219</v>
      </c>
    </row>
    <row r="54" spans="1:9" s="35" customFormat="1" ht="24.4" customHeight="1">
      <c r="A54" s="52" t="s">
        <v>195</v>
      </c>
      <c r="B54" s="85" t="s">
        <v>393</v>
      </c>
      <c r="C54" s="220">
        <v>95596</v>
      </c>
      <c r="D54" s="215">
        <f>95596/88086*100-100</f>
        <v>8.525758917421598</v>
      </c>
      <c r="E54" s="220">
        <v>57976</v>
      </c>
      <c r="F54" s="221">
        <f>57976/95596*100</f>
        <v>60.646888991171174</v>
      </c>
      <c r="G54" s="221">
        <f>57976/52369*100-100</f>
        <v>10.706715805151902</v>
      </c>
      <c r="H54" s="220">
        <v>85281</v>
      </c>
      <c r="I54" s="220">
        <v>51850</v>
      </c>
    </row>
    <row r="55" spans="1:9" s="33" customFormat="1" ht="13.5">
      <c r="A55" s="52" t="s">
        <v>32</v>
      </c>
      <c r="B55" s="85" t="s">
        <v>113</v>
      </c>
      <c r="C55" s="220">
        <v>456406</v>
      </c>
      <c r="D55" s="215">
        <f>456406/421676*100-100</f>
        <v>8.236181333535697</v>
      </c>
      <c r="E55" s="220">
        <v>262883</v>
      </c>
      <c r="F55" s="221">
        <f>262883/456406*100</f>
        <v>57.598497828687613</v>
      </c>
      <c r="G55" s="221">
        <f>262883/249848*100-100</f>
        <v>5.217172040600687</v>
      </c>
      <c r="H55" s="220">
        <v>442082</v>
      </c>
      <c r="I55" s="220">
        <v>259375</v>
      </c>
    </row>
    <row r="56" spans="1:9" s="34" customFormat="1" ht="13.5">
      <c r="A56" s="52" t="s">
        <v>33</v>
      </c>
      <c r="B56" s="77" t="s">
        <v>143</v>
      </c>
      <c r="C56" s="220">
        <v>298967</v>
      </c>
      <c r="D56" s="215">
        <f>298967/273526*100-100</f>
        <v>9.3011267667424562</v>
      </c>
      <c r="E56" s="220">
        <v>166940</v>
      </c>
      <c r="F56" s="221">
        <f>166940/298967*100</f>
        <v>55.838938745747853</v>
      </c>
      <c r="G56" s="221">
        <f>166940/160266*100-100</f>
        <v>4.1643268066838885</v>
      </c>
      <c r="H56" s="220">
        <v>284753</v>
      </c>
      <c r="I56" s="220">
        <v>163452</v>
      </c>
    </row>
    <row r="57" spans="1:9" s="33" customFormat="1" ht="13.5">
      <c r="A57" s="50" t="s">
        <v>34</v>
      </c>
      <c r="B57" s="86" t="s">
        <v>114</v>
      </c>
      <c r="C57" s="218">
        <v>2478176</v>
      </c>
      <c r="D57" s="213">
        <f>2478176/2402554*100-100</f>
        <v>3.1475671306451432</v>
      </c>
      <c r="E57" s="218">
        <v>1303897</v>
      </c>
      <c r="F57" s="219">
        <f>1303897/2478176*100</f>
        <v>52.615189558772258</v>
      </c>
      <c r="G57" s="219">
        <f>1303897/1338899*100-100</f>
        <v>-2.6142375190361662</v>
      </c>
      <c r="H57" s="218">
        <v>2345848</v>
      </c>
      <c r="I57" s="218">
        <v>1173095</v>
      </c>
    </row>
    <row r="58" spans="1:9" s="33" customFormat="1" ht="13.5">
      <c r="A58" s="50" t="s">
        <v>35</v>
      </c>
      <c r="B58" s="76" t="s">
        <v>115</v>
      </c>
      <c r="C58" s="218">
        <v>1284335</v>
      </c>
      <c r="D58" s="213">
        <f>1284335/1234669*100-100</f>
        <v>4.0226165879276152</v>
      </c>
      <c r="E58" s="218">
        <v>454331</v>
      </c>
      <c r="F58" s="219">
        <f>454331/1284335*100</f>
        <v>35.374804860102699</v>
      </c>
      <c r="G58" s="219">
        <f>454331/415843*100-100</f>
        <v>9.2554161065594371</v>
      </c>
      <c r="H58" s="218">
        <v>1059591</v>
      </c>
      <c r="I58" s="218">
        <v>354156</v>
      </c>
    </row>
    <row r="59" spans="1:9" s="34" customFormat="1" ht="13.5">
      <c r="A59" s="52" t="s">
        <v>36</v>
      </c>
      <c r="B59" s="85" t="s">
        <v>116</v>
      </c>
      <c r="C59" s="220">
        <v>302754</v>
      </c>
      <c r="D59" s="215">
        <f>302754/295402*100-100</f>
        <v>2.4888118563855386</v>
      </c>
      <c r="E59" s="220">
        <v>120611</v>
      </c>
      <c r="F59" s="221">
        <f>120611/302754*100</f>
        <v>39.837954246682123</v>
      </c>
      <c r="G59" s="221">
        <f>120611/117038*100-100</f>
        <v>3.0528546284112963</v>
      </c>
      <c r="H59" s="220">
        <v>241693</v>
      </c>
      <c r="I59" s="220">
        <v>104574</v>
      </c>
    </row>
    <row r="60" spans="1:9" s="34" customFormat="1" ht="13.5">
      <c r="A60" s="52" t="s">
        <v>37</v>
      </c>
      <c r="B60" s="77" t="s">
        <v>117</v>
      </c>
      <c r="C60" s="220">
        <v>981581</v>
      </c>
      <c r="D60" s="215">
        <f>981581/939267*100-100</f>
        <v>4.5050023049888921</v>
      </c>
      <c r="E60" s="220">
        <v>333719</v>
      </c>
      <c r="F60" s="221">
        <f>333719/981581*100</f>
        <v>33.99811121038406</v>
      </c>
      <c r="G60" s="221">
        <f>333719/298805*100-100</f>
        <v>11.684543431334831</v>
      </c>
      <c r="H60" s="220">
        <v>817898</v>
      </c>
      <c r="I60" s="220">
        <v>249582</v>
      </c>
    </row>
    <row r="61" spans="1:9" s="35" customFormat="1" ht="24.4" customHeight="1">
      <c r="A61" s="52" t="s">
        <v>197</v>
      </c>
      <c r="B61" s="85" t="s">
        <v>394</v>
      </c>
      <c r="C61" s="220">
        <v>34934</v>
      </c>
      <c r="D61" s="215">
        <f>34934/36590*100-100</f>
        <v>-4.5258267286143763</v>
      </c>
      <c r="E61" s="220">
        <v>13300</v>
      </c>
      <c r="F61" s="221">
        <f>13300/34934*100</f>
        <v>38.071792523043449</v>
      </c>
      <c r="G61" s="221">
        <f>13300/14099*100-100</f>
        <v>-5.6670685864245769</v>
      </c>
      <c r="H61" s="220">
        <v>34222</v>
      </c>
      <c r="I61" s="220">
        <v>13161</v>
      </c>
    </row>
    <row r="62" spans="1:9" s="34" customFormat="1" ht="13.5">
      <c r="A62" s="52" t="s">
        <v>198</v>
      </c>
      <c r="B62" s="85" t="s">
        <v>199</v>
      </c>
      <c r="C62" s="220">
        <v>145649</v>
      </c>
      <c r="D62" s="215">
        <f>145649/148050*100-100</f>
        <v>-1.6217494089834474</v>
      </c>
      <c r="E62" s="220">
        <v>39095</v>
      </c>
      <c r="F62" s="221">
        <f>39095/145649*100</f>
        <v>26.841928197241309</v>
      </c>
      <c r="G62" s="221">
        <f>39095/36080*100-100</f>
        <v>8.3564301552106315</v>
      </c>
      <c r="H62" s="220">
        <v>133609</v>
      </c>
      <c r="I62" s="220">
        <v>39042</v>
      </c>
    </row>
    <row r="63" spans="1:9" s="34" customFormat="1" ht="13.5">
      <c r="A63" s="52" t="s">
        <v>38</v>
      </c>
      <c r="B63" s="77" t="s">
        <v>132</v>
      </c>
      <c r="C63" s="220">
        <v>699923</v>
      </c>
      <c r="D63" s="215">
        <f>699923/654253*100-100</f>
        <v>6.9804800283682482</v>
      </c>
      <c r="E63" s="220">
        <v>280560</v>
      </c>
      <c r="F63" s="221">
        <f>280560/699923*100</f>
        <v>40.084409285021351</v>
      </c>
      <c r="G63" s="221">
        <f>280560/247188*100-100</f>
        <v>13.50065537161997</v>
      </c>
      <c r="H63" s="220">
        <v>553344</v>
      </c>
      <c r="I63" s="220">
        <v>196615</v>
      </c>
    </row>
    <row r="64" spans="1:9" s="33" customFormat="1" ht="24.4" customHeight="1">
      <c r="A64" s="50" t="s">
        <v>39</v>
      </c>
      <c r="B64" s="76" t="s">
        <v>395</v>
      </c>
      <c r="C64" s="218">
        <v>903699</v>
      </c>
      <c r="D64" s="215">
        <f>903699/835975*100-100</f>
        <v>8.1011991985406269</v>
      </c>
      <c r="E64" s="218">
        <v>162468</v>
      </c>
      <c r="F64" s="219">
        <f>162468/903699*100</f>
        <v>17.97810996803139</v>
      </c>
      <c r="G64" s="219">
        <f>162468/151801*100-100</f>
        <v>7.0269629317329958</v>
      </c>
      <c r="H64" s="218">
        <v>846503</v>
      </c>
      <c r="I64" s="218">
        <v>154628</v>
      </c>
    </row>
    <row r="65" spans="1:9" s="34" customFormat="1" ht="13.5">
      <c r="A65" s="52" t="s">
        <v>200</v>
      </c>
      <c r="B65" s="85" t="s">
        <v>201</v>
      </c>
      <c r="C65" s="220">
        <v>141538</v>
      </c>
      <c r="D65" s="215">
        <f>141538/136874*100-100</f>
        <v>3.4075134795505306</v>
      </c>
      <c r="E65" s="220">
        <v>39411</v>
      </c>
      <c r="F65" s="221">
        <f>39411/141538*100</f>
        <v>27.844819059192581</v>
      </c>
      <c r="G65" s="221">
        <f>39411/39476*100-100</f>
        <v>-0.16465700678894279</v>
      </c>
      <c r="H65" s="220">
        <v>134354</v>
      </c>
      <c r="I65" s="220">
        <v>38794</v>
      </c>
    </row>
    <row r="66" spans="1:9" s="35" customFormat="1" ht="13.5">
      <c r="A66" s="52" t="s">
        <v>202</v>
      </c>
      <c r="B66" s="85" t="s">
        <v>203</v>
      </c>
      <c r="C66" s="220">
        <v>37313</v>
      </c>
      <c r="D66" s="215">
        <f>37313/31967*100-100</f>
        <v>16.723496105358663</v>
      </c>
      <c r="E66" s="218" t="s">
        <v>444</v>
      </c>
      <c r="F66" s="218" t="s">
        <v>444</v>
      </c>
      <c r="G66" s="218" t="s">
        <v>444</v>
      </c>
      <c r="H66" s="220">
        <v>31064</v>
      </c>
      <c r="I66" s="218" t="s">
        <v>444</v>
      </c>
    </row>
    <row r="67" spans="1:9" s="35" customFormat="1" ht="24.4" customHeight="1">
      <c r="A67" s="52" t="s">
        <v>204</v>
      </c>
      <c r="B67" s="85" t="s">
        <v>396</v>
      </c>
      <c r="C67" s="220">
        <v>46743</v>
      </c>
      <c r="D67" s="215">
        <f>46743/50723*100-100</f>
        <v>-7.8465390454034605</v>
      </c>
      <c r="E67" s="218" t="s">
        <v>444</v>
      </c>
      <c r="F67" s="218" t="s">
        <v>444</v>
      </c>
      <c r="G67" s="218" t="s">
        <v>444</v>
      </c>
      <c r="H67" s="220">
        <v>46408</v>
      </c>
      <c r="I67" s="218" t="s">
        <v>444</v>
      </c>
    </row>
    <row r="68" spans="1:9" s="33" customFormat="1" ht="13.5">
      <c r="A68" s="52" t="s">
        <v>40</v>
      </c>
      <c r="B68" s="85" t="s">
        <v>133</v>
      </c>
      <c r="C68" s="220">
        <v>489900</v>
      </c>
      <c r="D68" s="215">
        <f>489900/453062*100-100</f>
        <v>8.1308959921600206</v>
      </c>
      <c r="E68" s="220">
        <v>60030</v>
      </c>
      <c r="F68" s="221">
        <f>60030/489900*100</f>
        <v>12.253521126760564</v>
      </c>
      <c r="G68" s="221">
        <f>60030/60400*100-100</f>
        <v>-0.61258278145695044</v>
      </c>
      <c r="H68" s="220">
        <v>445382</v>
      </c>
      <c r="I68" s="220">
        <v>54351</v>
      </c>
    </row>
    <row r="69" spans="1:9" s="35" customFormat="1" ht="24.4" customHeight="1">
      <c r="A69" s="52" t="s">
        <v>205</v>
      </c>
      <c r="B69" s="85" t="s">
        <v>288</v>
      </c>
      <c r="C69" s="220">
        <v>263126</v>
      </c>
      <c r="D69" s="215">
        <f>263126/250857*100-100</f>
        <v>4.8908342202928452</v>
      </c>
      <c r="E69" s="220">
        <v>14452</v>
      </c>
      <c r="F69" s="221">
        <f>14452/263126*100</f>
        <v>5.4924256819926578</v>
      </c>
      <c r="G69" s="221">
        <f>14452/13634*100-100</f>
        <v>5.9997066158134089</v>
      </c>
      <c r="H69" s="220">
        <v>258212</v>
      </c>
      <c r="I69" s="220">
        <v>14452</v>
      </c>
    </row>
    <row r="70" spans="1:9" s="35" customFormat="1" ht="13.5">
      <c r="A70" s="52" t="s">
        <v>206</v>
      </c>
      <c r="B70" s="85" t="s">
        <v>207</v>
      </c>
      <c r="C70" s="220">
        <v>105625</v>
      </c>
      <c r="D70" s="215">
        <f>105625/85587*100-100</f>
        <v>23.412434131351716</v>
      </c>
      <c r="E70" s="218" t="s">
        <v>444</v>
      </c>
      <c r="F70" s="218" t="s">
        <v>444</v>
      </c>
      <c r="G70" s="218" t="s">
        <v>444</v>
      </c>
      <c r="H70" s="220">
        <v>87121</v>
      </c>
      <c r="I70" s="220">
        <v>0</v>
      </c>
    </row>
    <row r="71" spans="1:9" s="35" customFormat="1" ht="36" customHeight="1">
      <c r="A71" s="52" t="s">
        <v>208</v>
      </c>
      <c r="B71" s="85" t="s">
        <v>397</v>
      </c>
      <c r="C71" s="220">
        <v>163417</v>
      </c>
      <c r="D71" s="215">
        <f>163417/134497*100-100</f>
        <v>21.50233834211916</v>
      </c>
      <c r="E71" s="220">
        <v>34944</v>
      </c>
      <c r="F71" s="221">
        <f>34944/163417*100</f>
        <v>21.383332211459027</v>
      </c>
      <c r="G71" s="221">
        <f>34944/20527*100-100</f>
        <v>70.234325522482578</v>
      </c>
      <c r="H71" s="220">
        <v>157923</v>
      </c>
      <c r="I71" s="220">
        <v>33400</v>
      </c>
    </row>
    <row r="72" spans="1:9" s="35" customFormat="1" ht="24.4" customHeight="1">
      <c r="A72" s="52" t="s">
        <v>209</v>
      </c>
      <c r="B72" s="85" t="s">
        <v>383</v>
      </c>
      <c r="C72" s="220">
        <v>101524</v>
      </c>
      <c r="D72" s="215">
        <f>101524/101963*100-100</f>
        <v>-0.43054833616115218</v>
      </c>
      <c r="E72" s="218" t="s">
        <v>444</v>
      </c>
      <c r="F72" s="218" t="s">
        <v>444</v>
      </c>
      <c r="G72" s="218" t="s">
        <v>444</v>
      </c>
      <c r="H72" s="220">
        <v>98741</v>
      </c>
      <c r="I72" s="218" t="s">
        <v>444</v>
      </c>
    </row>
    <row r="73" spans="1:9" s="33" customFormat="1" ht="13.5">
      <c r="A73" s="50" t="s">
        <v>41</v>
      </c>
      <c r="B73" s="86" t="s">
        <v>118</v>
      </c>
      <c r="C73" s="225">
        <v>200740</v>
      </c>
      <c r="D73" s="213">
        <f>200740/215328*100-100</f>
        <v>-6.77478079952445</v>
      </c>
      <c r="E73" s="218">
        <v>83605</v>
      </c>
      <c r="F73" s="219">
        <f>83605/200740*100</f>
        <v>41.648400916608544</v>
      </c>
      <c r="G73" s="219">
        <f>83605/84279*100-100</f>
        <v>-0.79972472383393267</v>
      </c>
      <c r="H73" s="218">
        <v>200313</v>
      </c>
      <c r="I73" s="218">
        <v>83380</v>
      </c>
    </row>
    <row r="74" spans="1:9" s="34" customFormat="1" ht="13.5">
      <c r="A74" s="52" t="s">
        <v>210</v>
      </c>
      <c r="B74" s="85" t="s">
        <v>211</v>
      </c>
      <c r="C74" s="220">
        <v>97963</v>
      </c>
      <c r="D74" s="215">
        <f>97963/112024*100-100</f>
        <v>-12.551774619724341</v>
      </c>
      <c r="E74" s="220">
        <v>33080</v>
      </c>
      <c r="F74" s="221">
        <f>33080/97963*100</f>
        <v>33.767851127466493</v>
      </c>
      <c r="G74" s="253">
        <f>33080/40860*100-100</f>
        <v>-19.04062652961332</v>
      </c>
      <c r="H74" s="220">
        <v>97535</v>
      </c>
      <c r="I74" s="218">
        <v>32855</v>
      </c>
    </row>
    <row r="75" spans="1:9" s="33" customFormat="1" ht="13.5">
      <c r="A75" s="50" t="s">
        <v>42</v>
      </c>
      <c r="B75" s="86" t="s">
        <v>119</v>
      </c>
      <c r="C75" s="218">
        <v>1047941</v>
      </c>
      <c r="D75" s="213">
        <f>1047941/1082345*100-100</f>
        <v>-3.1786537564270247</v>
      </c>
      <c r="E75" s="218">
        <v>218569</v>
      </c>
      <c r="F75" s="219">
        <f>218569/1047941*100</f>
        <v>20.856994811730814</v>
      </c>
      <c r="G75" s="219">
        <f>218569/238877*100-100</f>
        <v>-8.5014463510509586</v>
      </c>
      <c r="H75" s="218">
        <v>1030419</v>
      </c>
      <c r="I75" s="218">
        <v>213572</v>
      </c>
    </row>
    <row r="76" spans="1:9" s="34" customFormat="1" ht="13.5">
      <c r="A76" s="52" t="s">
        <v>43</v>
      </c>
      <c r="B76" s="85" t="s">
        <v>144</v>
      </c>
      <c r="C76" s="220">
        <v>238090</v>
      </c>
      <c r="D76" s="215">
        <f>238090/233656*100-100</f>
        <v>1.8976615194987545</v>
      </c>
      <c r="E76" s="220">
        <v>26823</v>
      </c>
      <c r="F76" s="221">
        <f>26823/238090*100</f>
        <v>11.265907849972699</v>
      </c>
      <c r="G76" s="221">
        <f>26823/23981*100-100</f>
        <v>11.851048746924647</v>
      </c>
      <c r="H76" s="220">
        <v>231580</v>
      </c>
      <c r="I76" s="220">
        <v>25508</v>
      </c>
    </row>
    <row r="77" spans="1:9" s="35" customFormat="1" ht="13.5">
      <c r="A77" s="52" t="s">
        <v>212</v>
      </c>
      <c r="B77" s="85" t="s">
        <v>213</v>
      </c>
      <c r="C77" s="220">
        <v>171898</v>
      </c>
      <c r="D77" s="215">
        <f>171898/166042*100-100</f>
        <v>3.5268185157972169</v>
      </c>
      <c r="E77" s="220">
        <v>19217</v>
      </c>
      <c r="F77" s="221">
        <f>19217/171898*100</f>
        <v>11.179304005863942</v>
      </c>
      <c r="G77" s="221">
        <f>19217/15397*100-100</f>
        <v>24.810027927518348</v>
      </c>
      <c r="H77" s="220">
        <v>167877</v>
      </c>
      <c r="I77" s="220">
        <v>18367</v>
      </c>
    </row>
    <row r="78" spans="1:9" s="35" customFormat="1" ht="13.5">
      <c r="A78" s="52" t="s">
        <v>214</v>
      </c>
      <c r="B78" s="85" t="s">
        <v>215</v>
      </c>
      <c r="C78" s="220">
        <v>66192</v>
      </c>
      <c r="D78" s="215">
        <f>66192/67614*100-100</f>
        <v>-2.103114739550989</v>
      </c>
      <c r="E78" s="220">
        <v>7606</v>
      </c>
      <c r="F78" s="221">
        <f>7606/66192*100</f>
        <v>11.490814599951655</v>
      </c>
      <c r="G78" s="221">
        <f>7606/8585*100-100</f>
        <v>-11.403610949330229</v>
      </c>
      <c r="H78" s="220">
        <v>63703</v>
      </c>
      <c r="I78" s="220">
        <v>7141</v>
      </c>
    </row>
    <row r="79" spans="1:9" s="34" customFormat="1" ht="13.5">
      <c r="A79" s="52" t="s">
        <v>216</v>
      </c>
      <c r="B79" s="85" t="s">
        <v>217</v>
      </c>
      <c r="C79" s="218">
        <v>170735</v>
      </c>
      <c r="D79" s="245" t="s">
        <v>444</v>
      </c>
      <c r="E79" s="218">
        <v>60825</v>
      </c>
      <c r="F79" s="218" t="s">
        <v>444</v>
      </c>
      <c r="G79" s="218" t="s">
        <v>444</v>
      </c>
      <c r="H79" s="218">
        <v>169010</v>
      </c>
      <c r="I79" s="218">
        <v>59117</v>
      </c>
    </row>
    <row r="80" spans="1:9" s="35" customFormat="1" ht="36" customHeight="1">
      <c r="A80" s="52" t="s">
        <v>218</v>
      </c>
      <c r="B80" s="85" t="s">
        <v>368</v>
      </c>
      <c r="C80" s="220">
        <v>41036</v>
      </c>
      <c r="D80" s="215">
        <f>41036/41042*100-100</f>
        <v>-1.4619170605726595E-2</v>
      </c>
      <c r="E80" s="218" t="s">
        <v>444</v>
      </c>
      <c r="F80" s="218" t="s">
        <v>444</v>
      </c>
      <c r="G80" s="218" t="s">
        <v>444</v>
      </c>
      <c r="H80" s="220">
        <v>40701</v>
      </c>
      <c r="I80" s="218" t="s">
        <v>444</v>
      </c>
    </row>
    <row r="81" spans="1:9" s="34" customFormat="1" ht="24.4" customHeight="1">
      <c r="A81" s="52" t="s">
        <v>44</v>
      </c>
      <c r="B81" s="77" t="s">
        <v>369</v>
      </c>
      <c r="C81" s="220">
        <v>276511</v>
      </c>
      <c r="D81" s="215">
        <f>276511/273542*100-100</f>
        <v>1.0853909088914975</v>
      </c>
      <c r="E81" s="220">
        <v>24587</v>
      </c>
      <c r="F81" s="221">
        <f>24587/276511*100</f>
        <v>8.8918704861651072</v>
      </c>
      <c r="G81" s="221">
        <f>24587/22139*100-100</f>
        <v>11.057410000451682</v>
      </c>
      <c r="H81" s="220">
        <v>272908</v>
      </c>
      <c r="I81" s="220">
        <v>23869</v>
      </c>
    </row>
    <row r="82" spans="1:9" s="34" customFormat="1" ht="13.5">
      <c r="A82" s="52" t="s">
        <v>219</v>
      </c>
      <c r="B82" s="85" t="s">
        <v>220</v>
      </c>
      <c r="C82" s="220">
        <v>52213</v>
      </c>
      <c r="D82" s="215">
        <f>52213/54554*100-100</f>
        <v>-4.2911610514352816</v>
      </c>
      <c r="E82" s="220">
        <v>9863</v>
      </c>
      <c r="F82" s="221">
        <f>9863/52213*100</f>
        <v>18.889931626223355</v>
      </c>
      <c r="G82" s="221">
        <f>9863/9338*100-100</f>
        <v>5.622188905547219</v>
      </c>
      <c r="H82" s="220">
        <v>52130</v>
      </c>
      <c r="I82" s="220">
        <v>9814</v>
      </c>
    </row>
    <row r="83" spans="1:9" s="34" customFormat="1" ht="13.5">
      <c r="A83" s="52" t="s">
        <v>221</v>
      </c>
      <c r="B83" s="85" t="s">
        <v>222</v>
      </c>
      <c r="C83" s="220">
        <v>224299</v>
      </c>
      <c r="D83" s="215">
        <f>224299/218989*100-100</f>
        <v>2.4247793268155107</v>
      </c>
      <c r="E83" s="220">
        <v>14724</v>
      </c>
      <c r="F83" s="221">
        <f>14724/224299*100</f>
        <v>6.5644519146318085</v>
      </c>
      <c r="G83" s="221">
        <f>14724/12801*100-100</f>
        <v>15.022263885633919</v>
      </c>
      <c r="H83" s="220">
        <v>220777</v>
      </c>
      <c r="I83" s="220">
        <v>14054</v>
      </c>
    </row>
    <row r="84" spans="1:9" s="35" customFormat="1" ht="24.4" customHeight="1">
      <c r="A84" s="52" t="s">
        <v>223</v>
      </c>
      <c r="B84" s="85" t="s">
        <v>370</v>
      </c>
      <c r="C84" s="220">
        <v>91052</v>
      </c>
      <c r="D84" s="215">
        <f>91052/93592*100-100</f>
        <v>-2.7139071715531173</v>
      </c>
      <c r="E84" s="220">
        <v>37071</v>
      </c>
      <c r="F84" s="221">
        <f>37071/91052*100</f>
        <v>40.714097438826165</v>
      </c>
      <c r="G84" s="221">
        <f>37071/35062*100-100</f>
        <v>5.7298499800353682</v>
      </c>
      <c r="H84" s="220">
        <v>89391</v>
      </c>
      <c r="I84" s="220">
        <v>37014</v>
      </c>
    </row>
    <row r="85" spans="1:9" s="34" customFormat="1" ht="13.5">
      <c r="A85" s="52" t="s">
        <v>45</v>
      </c>
      <c r="B85" s="85" t="s">
        <v>134</v>
      </c>
      <c r="C85" s="220">
        <v>217735</v>
      </c>
      <c r="D85" s="215">
        <f>217829/249829*100-100</f>
        <v>-12.80876119265578</v>
      </c>
      <c r="E85" s="220">
        <v>67017</v>
      </c>
      <c r="F85" s="221">
        <f>67017/217735*100</f>
        <v>30.779158150963326</v>
      </c>
      <c r="G85" s="221">
        <f>67017/85979*100-100</f>
        <v>-22.054222542713916</v>
      </c>
      <c r="H85" s="220">
        <v>214046</v>
      </c>
      <c r="I85" s="220">
        <v>65819</v>
      </c>
    </row>
    <row r="86" spans="1:9" s="35" customFormat="1" ht="13.5">
      <c r="A86" s="52" t="s">
        <v>224</v>
      </c>
      <c r="B86" s="85" t="s">
        <v>225</v>
      </c>
      <c r="C86" s="220">
        <v>20806</v>
      </c>
      <c r="D86" s="215">
        <f>20806/23125*100-100</f>
        <v>-10.028108108108114</v>
      </c>
      <c r="E86" s="220">
        <v>10011</v>
      </c>
      <c r="F86" s="221">
        <f>10011/20806*100</f>
        <v>48.115928097664131</v>
      </c>
      <c r="G86" s="221">
        <f>10011/10474*100-100</f>
        <v>-4.4204697345808626</v>
      </c>
      <c r="H86" s="220">
        <v>17151</v>
      </c>
      <c r="I86" s="220">
        <v>8813</v>
      </c>
    </row>
    <row r="87" spans="1:9" s="34" customFormat="1" ht="13.5">
      <c r="A87" s="52" t="s">
        <v>226</v>
      </c>
      <c r="B87" s="85" t="s">
        <v>278</v>
      </c>
      <c r="C87" s="220">
        <v>73004</v>
      </c>
      <c r="D87" s="215">
        <f>73004/123840*100-100</f>
        <v>-41.049741602067179</v>
      </c>
      <c r="E87" s="220">
        <v>6179</v>
      </c>
      <c r="F87" s="221">
        <f>6179/73004*100</f>
        <v>8.4639197852172483</v>
      </c>
      <c r="G87" s="221">
        <f>6179/41243*100-100</f>
        <v>-85.018063671410914</v>
      </c>
      <c r="H87" s="220">
        <v>73004</v>
      </c>
      <c r="I87" s="220">
        <v>6179</v>
      </c>
    </row>
    <row r="88" spans="1:9" s="33" customFormat="1" ht="24.4" customHeight="1">
      <c r="A88" s="50" t="s">
        <v>46</v>
      </c>
      <c r="B88" s="78" t="s">
        <v>371</v>
      </c>
      <c r="C88" s="218">
        <v>1928049</v>
      </c>
      <c r="D88" s="213">
        <f>1928049/1906109*100-100</f>
        <v>1.1510359585941785</v>
      </c>
      <c r="E88" s="218">
        <v>1191037</v>
      </c>
      <c r="F88" s="219">
        <f>1191037/1928049*100</f>
        <v>61.774208020646782</v>
      </c>
      <c r="G88" s="219">
        <f>1191037/1179843*100-100</f>
        <v>0.94877030248940741</v>
      </c>
      <c r="H88" s="218">
        <v>1671948</v>
      </c>
      <c r="I88" s="218">
        <v>980539</v>
      </c>
    </row>
    <row r="89" spans="1:9" s="34" customFormat="1" ht="13.5">
      <c r="A89" s="52" t="s">
        <v>227</v>
      </c>
      <c r="B89" s="85" t="s">
        <v>228</v>
      </c>
      <c r="C89" s="220">
        <v>525636</v>
      </c>
      <c r="D89" s="215">
        <f>525636/500543*100-100</f>
        <v>5.0131557128957951</v>
      </c>
      <c r="E89" s="220">
        <v>396482</v>
      </c>
      <c r="F89" s="221">
        <f>396482/525636*100</f>
        <v>75.429004101697757</v>
      </c>
      <c r="G89" s="221">
        <f>396482/357953*100-100</f>
        <v>10.76370361472037</v>
      </c>
      <c r="H89" s="220">
        <v>348210</v>
      </c>
      <c r="I89" s="220">
        <v>234681</v>
      </c>
    </row>
    <row r="90" spans="1:9" s="35" customFormat="1" ht="24.4" customHeight="1">
      <c r="A90" s="52" t="s">
        <v>229</v>
      </c>
      <c r="B90" s="85" t="s">
        <v>372</v>
      </c>
      <c r="C90" s="220">
        <v>75265</v>
      </c>
      <c r="D90" s="215">
        <f>75265/70324*100-100</f>
        <v>7.0260508503498187</v>
      </c>
      <c r="E90" s="218" t="s">
        <v>444</v>
      </c>
      <c r="F90" s="218" t="s">
        <v>444</v>
      </c>
      <c r="G90" s="218" t="s">
        <v>444</v>
      </c>
      <c r="H90" s="220">
        <v>74806</v>
      </c>
      <c r="I90" s="218" t="s">
        <v>444</v>
      </c>
    </row>
    <row r="91" spans="1:9" s="34" customFormat="1" ht="24.4" customHeight="1">
      <c r="A91" s="52" t="s">
        <v>47</v>
      </c>
      <c r="B91" s="87" t="s">
        <v>367</v>
      </c>
      <c r="C91" s="220">
        <v>1066763</v>
      </c>
      <c r="D91" s="215">
        <f>1066763/1090304*100-100</f>
        <v>-2.1591225933317588</v>
      </c>
      <c r="E91" s="220">
        <v>598921</v>
      </c>
      <c r="F91" s="221">
        <f>598921/1066763*100</f>
        <v>56.143773265476959</v>
      </c>
      <c r="G91" s="221">
        <f>598921/630692*100-100</f>
        <v>-5.037482638118135</v>
      </c>
      <c r="H91" s="220">
        <v>993233</v>
      </c>
      <c r="I91" s="220">
        <v>553123</v>
      </c>
    </row>
    <row r="92" spans="1:9" s="35" customFormat="1" ht="24.4" customHeight="1">
      <c r="A92" s="52" t="s">
        <v>230</v>
      </c>
      <c r="B92" s="85" t="s">
        <v>231</v>
      </c>
      <c r="C92" s="218" t="s">
        <v>444</v>
      </c>
      <c r="D92" s="245" t="s">
        <v>444</v>
      </c>
      <c r="E92" s="218" t="s">
        <v>444</v>
      </c>
      <c r="F92" s="218" t="s">
        <v>444</v>
      </c>
      <c r="G92" s="218" t="s">
        <v>444</v>
      </c>
      <c r="H92" s="218" t="s">
        <v>444</v>
      </c>
      <c r="I92" s="218" t="s">
        <v>444</v>
      </c>
    </row>
    <row r="93" spans="1:9" s="34" customFormat="1" ht="24.4" customHeight="1">
      <c r="A93" s="52" t="s">
        <v>232</v>
      </c>
      <c r="B93" s="85" t="s">
        <v>373</v>
      </c>
      <c r="C93" s="220">
        <v>167958</v>
      </c>
      <c r="D93" s="215">
        <f>167958/161209*100-100</f>
        <v>4.1864908286758151</v>
      </c>
      <c r="E93" s="220">
        <v>129195</v>
      </c>
      <c r="F93" s="221">
        <f>129195/167958*100</f>
        <v>76.921015968277786</v>
      </c>
      <c r="G93" s="221">
        <f>129195/128080*100-100</f>
        <v>0.87054965646471771</v>
      </c>
      <c r="H93" s="220">
        <v>167958</v>
      </c>
      <c r="I93" s="220">
        <v>129195</v>
      </c>
    </row>
    <row r="94" spans="1:9" s="33" customFormat="1" ht="13.5">
      <c r="A94" s="50" t="s">
        <v>48</v>
      </c>
      <c r="B94" s="78" t="s">
        <v>120</v>
      </c>
      <c r="C94" s="218">
        <v>738138</v>
      </c>
      <c r="D94" s="213">
        <f>738138/722133*100-100</f>
        <v>2.2163507276360406</v>
      </c>
      <c r="E94" s="218">
        <v>308515</v>
      </c>
      <c r="F94" s="219">
        <f>308515/738138*100</f>
        <v>41.796384957826319</v>
      </c>
      <c r="G94" s="219">
        <f>308515/287595*100-100</f>
        <v>7.2741181174916107</v>
      </c>
      <c r="H94" s="218">
        <v>680670</v>
      </c>
      <c r="I94" s="218">
        <v>305048</v>
      </c>
    </row>
    <row r="95" spans="1:9" s="34" customFormat="1" ht="36" customHeight="1">
      <c r="A95" s="52" t="s">
        <v>49</v>
      </c>
      <c r="B95" s="85" t="s">
        <v>366</v>
      </c>
      <c r="C95" s="220">
        <v>359970</v>
      </c>
      <c r="D95" s="215">
        <f>359970/373377*100-100</f>
        <v>-3.5907407258615365</v>
      </c>
      <c r="E95" s="220">
        <v>140779</v>
      </c>
      <c r="F95" s="221">
        <f>140779/359970*100</f>
        <v>39.108536822512988</v>
      </c>
      <c r="G95" s="221">
        <f>140779/131689*100-100</f>
        <v>6.9026266430757204</v>
      </c>
      <c r="H95" s="220">
        <v>317842</v>
      </c>
      <c r="I95" s="220">
        <v>140058</v>
      </c>
    </row>
    <row r="96" spans="1:9" s="33" customFormat="1" ht="24.4" customHeight="1">
      <c r="A96" s="52" t="s">
        <v>233</v>
      </c>
      <c r="B96" s="85" t="s">
        <v>365</v>
      </c>
      <c r="C96" s="220">
        <v>198139</v>
      </c>
      <c r="D96" s="215">
        <f>198139/172521*100-100</f>
        <v>14.849206763234619</v>
      </c>
      <c r="E96" s="220">
        <v>116322</v>
      </c>
      <c r="F96" s="221">
        <f>116322/198139*100</f>
        <v>58.70727115812636</v>
      </c>
      <c r="G96" s="221">
        <f>116322/104180*100-100</f>
        <v>11.654828181992698</v>
      </c>
      <c r="H96" s="220">
        <v>197427</v>
      </c>
      <c r="I96" s="220">
        <v>116290</v>
      </c>
    </row>
    <row r="97" spans="1:9" s="34" customFormat="1" ht="24.4" customHeight="1">
      <c r="A97" s="52" t="s">
        <v>234</v>
      </c>
      <c r="B97" s="85" t="s">
        <v>364</v>
      </c>
      <c r="C97" s="220">
        <v>161831</v>
      </c>
      <c r="D97" s="215">
        <f>161831/200855*100-100</f>
        <v>-19.42894127604491</v>
      </c>
      <c r="E97" s="220">
        <v>24457</v>
      </c>
      <c r="F97" s="221">
        <f>24457/161831*100</f>
        <v>15.112679276529221</v>
      </c>
      <c r="G97" s="221">
        <f>24457/27509*100-100</f>
        <v>-11.09455087425934</v>
      </c>
      <c r="H97" s="220">
        <v>120415</v>
      </c>
      <c r="I97" s="220">
        <v>23768</v>
      </c>
    </row>
    <row r="98" spans="1:9" s="34" customFormat="1" ht="13.5">
      <c r="A98" s="52" t="s">
        <v>235</v>
      </c>
      <c r="B98" s="85" t="s">
        <v>236</v>
      </c>
      <c r="C98" s="220">
        <v>70963</v>
      </c>
      <c r="D98" s="215">
        <f>70963/78893*100-100</f>
        <v>-10.051588860862182</v>
      </c>
      <c r="E98" s="220">
        <v>33906</v>
      </c>
      <c r="F98" s="221">
        <f>33906/70963*100</f>
        <v>47.779828924932708</v>
      </c>
      <c r="G98" s="221">
        <f>33906/40050*100-100</f>
        <v>-15.340823970037448</v>
      </c>
      <c r="H98" s="220">
        <v>69807</v>
      </c>
      <c r="I98" s="220">
        <v>33627</v>
      </c>
    </row>
    <row r="99" spans="1:9" s="34" customFormat="1" ht="24.4" customHeight="1">
      <c r="A99" s="52" t="s">
        <v>50</v>
      </c>
      <c r="B99" s="77" t="s">
        <v>363</v>
      </c>
      <c r="C99" s="220">
        <v>246844</v>
      </c>
      <c r="D99" s="215">
        <f>246844/196121*100-100</f>
        <v>25.863115117707935</v>
      </c>
      <c r="E99" s="220">
        <v>108497</v>
      </c>
      <c r="F99" s="221">
        <f>108497/246844*100</f>
        <v>43.953671144528528</v>
      </c>
      <c r="G99" s="221">
        <f>108497/87312*100-100</f>
        <v>24.263560564412671</v>
      </c>
      <c r="H99" s="220">
        <v>233055</v>
      </c>
      <c r="I99" s="220">
        <v>106030</v>
      </c>
    </row>
    <row r="100" spans="1:9" s="33" customFormat="1" ht="13.5">
      <c r="A100" s="50" t="s">
        <v>51</v>
      </c>
      <c r="B100" s="76" t="s">
        <v>121</v>
      </c>
      <c r="C100" s="218">
        <v>6191888</v>
      </c>
      <c r="D100" s="213">
        <f>6191888/6848259*100-100</f>
        <v>-9.5844943948527543</v>
      </c>
      <c r="E100" s="218">
        <v>3943239</v>
      </c>
      <c r="F100" s="219">
        <f>3943239/6191888*100</f>
        <v>63.683952293710746</v>
      </c>
      <c r="G100" s="219">
        <f>3943239/3814760*100-100</f>
        <v>3.3679445102706325</v>
      </c>
      <c r="H100" s="218">
        <v>5335617</v>
      </c>
      <c r="I100" s="218">
        <v>3378844</v>
      </c>
    </row>
    <row r="101" spans="1:9" s="34" customFormat="1" ht="24.4" customHeight="1">
      <c r="A101" s="52" t="s">
        <v>237</v>
      </c>
      <c r="B101" s="85" t="s">
        <v>362</v>
      </c>
      <c r="C101" s="220">
        <v>3590194</v>
      </c>
      <c r="D101" s="215">
        <f>3590194/4255097*100-100</f>
        <v>-15.626036257222808</v>
      </c>
      <c r="E101" s="220">
        <v>2357454</v>
      </c>
      <c r="F101" s="221">
        <f>2357454/3590194*100</f>
        <v>65.66369393965897</v>
      </c>
      <c r="G101" s="221">
        <f>2357454/2262679*100-100</f>
        <v>4.1886188893784748</v>
      </c>
      <c r="H101" s="220">
        <v>2872527</v>
      </c>
      <c r="I101" s="220">
        <v>1845227</v>
      </c>
    </row>
    <row r="102" spans="1:9" s="34" customFormat="1" ht="13.5">
      <c r="A102" s="52" t="s">
        <v>238</v>
      </c>
      <c r="B102" s="85" t="s">
        <v>274</v>
      </c>
      <c r="C102" s="220">
        <v>360932</v>
      </c>
      <c r="D102" s="215">
        <f>360932/486624*100-100</f>
        <v>-25.829387781942529</v>
      </c>
      <c r="E102" s="220">
        <v>198701</v>
      </c>
      <c r="F102" s="221">
        <f>198701/360932*100</f>
        <v>55.052198197998514</v>
      </c>
      <c r="G102" s="221">
        <f>198701/285992*100-100</f>
        <v>-30.522182438669603</v>
      </c>
      <c r="H102" s="220">
        <v>316575</v>
      </c>
      <c r="I102" s="220">
        <v>190772</v>
      </c>
    </row>
    <row r="103" spans="1:9" s="35" customFormat="1" ht="13.5">
      <c r="A103" s="52" t="s">
        <v>52</v>
      </c>
      <c r="B103" s="77" t="s">
        <v>275</v>
      </c>
      <c r="C103" s="220">
        <v>323951</v>
      </c>
      <c r="D103" s="215">
        <f>323951/323774*100-100</f>
        <v>5.4667762080967464E-2</v>
      </c>
      <c r="E103" s="220">
        <v>209432</v>
      </c>
      <c r="F103" s="221">
        <f>209432/323951*100</f>
        <v>64.649283379276497</v>
      </c>
      <c r="G103" s="221">
        <f>209432/218165*100-100</f>
        <v>-4.00293355946188</v>
      </c>
      <c r="H103" s="220">
        <v>320296</v>
      </c>
      <c r="I103" s="220">
        <v>207852</v>
      </c>
    </row>
    <row r="104" spans="1:9" s="34" customFormat="1" ht="24.4" customHeight="1">
      <c r="A104" s="52" t="s">
        <v>239</v>
      </c>
      <c r="B104" s="85" t="s">
        <v>361</v>
      </c>
      <c r="C104" s="220">
        <v>513521</v>
      </c>
      <c r="D104" s="215">
        <f>513521/488425*100-100</f>
        <v>5.1381481291907534</v>
      </c>
      <c r="E104" s="218" t="s">
        <v>444</v>
      </c>
      <c r="F104" s="218" t="s">
        <v>444</v>
      </c>
      <c r="G104" s="218" t="s">
        <v>444</v>
      </c>
      <c r="H104" s="220">
        <v>293571</v>
      </c>
      <c r="I104" s="220">
        <v>111127</v>
      </c>
    </row>
    <row r="105" spans="1:9" s="34" customFormat="1" ht="24.4" customHeight="1">
      <c r="A105" s="52" t="s">
        <v>53</v>
      </c>
      <c r="B105" s="85" t="s">
        <v>360</v>
      </c>
      <c r="C105" s="220">
        <v>1209485</v>
      </c>
      <c r="D105" s="215">
        <f>1209485/1193198*100-100</f>
        <v>1.3649872024592753</v>
      </c>
      <c r="E105" s="220">
        <v>701320</v>
      </c>
      <c r="F105" s="221">
        <f>701320/1209485*100</f>
        <v>57.985010148947694</v>
      </c>
      <c r="G105" s="221">
        <f>701320/714280*100-100</f>
        <v>-1.8144145153161162</v>
      </c>
      <c r="H105" s="220">
        <v>1148577</v>
      </c>
      <c r="I105" s="220">
        <v>670739</v>
      </c>
    </row>
    <row r="106" spans="1:9" s="33" customFormat="1" ht="13.5">
      <c r="A106" s="52" t="s">
        <v>54</v>
      </c>
      <c r="B106" s="77" t="s">
        <v>135</v>
      </c>
      <c r="C106" s="220">
        <v>673012</v>
      </c>
      <c r="D106" s="215">
        <f>673012/599299*100-100</f>
        <v>12.299870348523868</v>
      </c>
      <c r="E106" s="220">
        <v>410646</v>
      </c>
      <c r="F106" s="221">
        <f>410646/673012*100</f>
        <v>61.016148300476068</v>
      </c>
      <c r="G106" s="221">
        <f>410646/363632*100-100</f>
        <v>12.929005148061762</v>
      </c>
      <c r="H106" s="220">
        <v>664872</v>
      </c>
      <c r="I106" s="220">
        <v>410487</v>
      </c>
    </row>
    <row r="107" spans="1:9" s="34" customFormat="1" ht="24.4" customHeight="1">
      <c r="A107" s="52" t="s">
        <v>55</v>
      </c>
      <c r="B107" s="85" t="s">
        <v>381</v>
      </c>
      <c r="C107" s="220">
        <v>312993</v>
      </c>
      <c r="D107" s="215">
        <f>312993/445590*100-100</f>
        <v>-29.757624722278337</v>
      </c>
      <c r="E107" s="220">
        <v>190773</v>
      </c>
      <c r="F107" s="221">
        <f>190773/312993*100</f>
        <v>60.95120338154527</v>
      </c>
      <c r="G107" s="221">
        <f>190773/296345*100-100</f>
        <v>-35.62469419089237</v>
      </c>
      <c r="H107" s="220">
        <v>310355</v>
      </c>
      <c r="I107" s="220">
        <v>189896</v>
      </c>
    </row>
    <row r="108" spans="1:9" s="34" customFormat="1" ht="24.4" customHeight="1">
      <c r="A108" s="52" t="s">
        <v>56</v>
      </c>
      <c r="B108" s="85" t="s">
        <v>382</v>
      </c>
      <c r="C108" s="220">
        <v>1196852</v>
      </c>
      <c r="D108" s="215">
        <f>1196852/1201634*100-100</f>
        <v>-0.39795811370184708</v>
      </c>
      <c r="E108" s="220">
        <v>722062</v>
      </c>
      <c r="F108" s="221">
        <f>722062/1196852*100</f>
        <v>60.330099293814108</v>
      </c>
      <c r="G108" s="221">
        <f>722062/676003*100-100</f>
        <v>6.8134313013403727</v>
      </c>
      <c r="H108" s="220">
        <v>1120251</v>
      </c>
      <c r="I108" s="220">
        <v>701155</v>
      </c>
    </row>
    <row r="109" spans="1:9" s="35" customFormat="1" ht="13.5">
      <c r="A109" s="52" t="s">
        <v>240</v>
      </c>
      <c r="B109" s="85" t="s">
        <v>241</v>
      </c>
      <c r="C109" s="220">
        <v>155133</v>
      </c>
      <c r="D109" s="215">
        <f>155133/162505*100-100</f>
        <v>-4.5364758007445829</v>
      </c>
      <c r="E109" s="220">
        <v>106473</v>
      </c>
      <c r="F109" s="221">
        <f>106473/155133*100</f>
        <v>68.633366208350253</v>
      </c>
      <c r="G109" s="221">
        <f>106473/101059*100-100</f>
        <v>5.3572665472644729</v>
      </c>
      <c r="H109" s="220">
        <v>148780</v>
      </c>
      <c r="I109" s="220">
        <v>105808</v>
      </c>
    </row>
    <row r="110" spans="1:9" s="34" customFormat="1" ht="24.4" customHeight="1">
      <c r="A110" s="52" t="s">
        <v>242</v>
      </c>
      <c r="B110" s="85" t="s">
        <v>374</v>
      </c>
      <c r="C110" s="220">
        <v>371870</v>
      </c>
      <c r="D110" s="215">
        <f>371870/358475*100-100</f>
        <v>3.7366622498082194</v>
      </c>
      <c r="E110" s="220">
        <v>178942</v>
      </c>
      <c r="F110" s="221">
        <f>178942/371870*100</f>
        <v>48.119504127786591</v>
      </c>
      <c r="G110" s="221">
        <f>178942/150988*100-100</f>
        <v>18.514054097014338</v>
      </c>
      <c r="H110" s="220">
        <v>367748</v>
      </c>
      <c r="I110" s="220">
        <v>175003</v>
      </c>
    </row>
    <row r="111" spans="1:9" s="34" customFormat="1" ht="24.4" customHeight="1">
      <c r="A111" s="52" t="s">
        <v>243</v>
      </c>
      <c r="B111" s="85" t="s">
        <v>375</v>
      </c>
      <c r="C111" s="220">
        <v>499582</v>
      </c>
      <c r="D111" s="215">
        <f>499582/505404*100-100</f>
        <v>-1.1519497273468318</v>
      </c>
      <c r="E111" s="220">
        <v>279553</v>
      </c>
      <c r="F111" s="221">
        <f>279553/499582*100</f>
        <v>55.957380369989309</v>
      </c>
      <c r="G111" s="221">
        <f>279553/267799*100-100</f>
        <v>4.3891127300699395</v>
      </c>
      <c r="H111" s="220">
        <v>433700</v>
      </c>
      <c r="I111" s="220">
        <v>263354</v>
      </c>
    </row>
    <row r="112" spans="1:9" s="33" customFormat="1" ht="13.5">
      <c r="A112" s="50" t="s">
        <v>57</v>
      </c>
      <c r="B112" s="76" t="s">
        <v>122</v>
      </c>
      <c r="C112" s="218">
        <v>564218</v>
      </c>
      <c r="D112" s="213">
        <f>564218/526214*100-100</f>
        <v>7.2221567651183705</v>
      </c>
      <c r="E112" s="218">
        <v>257656</v>
      </c>
      <c r="F112" s="219">
        <f>257656/564218*100</f>
        <v>45.666036886451685</v>
      </c>
      <c r="G112" s="219">
        <f>257656/225291*100-100</f>
        <v>14.365864592904302</v>
      </c>
      <c r="H112" s="218">
        <v>533732</v>
      </c>
      <c r="I112" s="218">
        <v>251922</v>
      </c>
    </row>
    <row r="113" spans="1:9" s="34" customFormat="1" ht="13.5">
      <c r="A113" s="52" t="s">
        <v>244</v>
      </c>
      <c r="B113" s="85" t="s">
        <v>245</v>
      </c>
      <c r="C113" s="220">
        <v>272455</v>
      </c>
      <c r="D113" s="215">
        <f>272455/227512*100-100</f>
        <v>19.754122859453574</v>
      </c>
      <c r="E113" s="218" t="s">
        <v>444</v>
      </c>
      <c r="F113" s="218" t="s">
        <v>444</v>
      </c>
      <c r="G113" s="218" t="s">
        <v>444</v>
      </c>
      <c r="H113" s="220">
        <v>266935</v>
      </c>
      <c r="I113" s="218" t="s">
        <v>444</v>
      </c>
    </row>
    <row r="114" spans="1:9" s="33" customFormat="1" ht="13.5">
      <c r="A114" s="50" t="s">
        <v>58</v>
      </c>
      <c r="B114" s="76" t="s">
        <v>123</v>
      </c>
      <c r="C114" s="218">
        <v>2012426</v>
      </c>
      <c r="D114" s="213">
        <f>2012426/1565693*100-100</f>
        <v>28.53260505092635</v>
      </c>
      <c r="E114" s="218">
        <v>891623</v>
      </c>
      <c r="F114" s="219">
        <f>891623/2012426*100</f>
        <v>44.305877582579434</v>
      </c>
      <c r="G114" s="219">
        <f>891623/529517*100-100</f>
        <v>68.384206739349253</v>
      </c>
      <c r="H114" s="218">
        <v>1996160</v>
      </c>
      <c r="I114" s="218">
        <v>890381</v>
      </c>
    </row>
    <row r="115" spans="1:9" s="34" customFormat="1" ht="13.5">
      <c r="A115" s="52" t="s">
        <v>59</v>
      </c>
      <c r="B115" s="85" t="s">
        <v>124</v>
      </c>
      <c r="C115" s="220">
        <v>1530768</v>
      </c>
      <c r="D115" s="215">
        <f>1530768/1081957*100-100</f>
        <v>41.481408226020079</v>
      </c>
      <c r="E115" s="220">
        <v>647383</v>
      </c>
      <c r="F115" s="221">
        <f>647383/1530768*100</f>
        <v>42.2913857619182</v>
      </c>
      <c r="G115" s="221">
        <f>647383/312645*100-100</f>
        <v>107.06648115274513</v>
      </c>
      <c r="H115" s="220">
        <v>1528044</v>
      </c>
      <c r="I115" s="220">
        <v>646209</v>
      </c>
    </row>
    <row r="116" spans="1:9" s="33" customFormat="1" ht="13.5">
      <c r="A116" s="50" t="s">
        <v>60</v>
      </c>
      <c r="B116" s="76" t="s">
        <v>136</v>
      </c>
      <c r="C116" s="218">
        <v>166154</v>
      </c>
      <c r="D116" s="213">
        <f>166154/176138*100-100</f>
        <v>-5.6682828236950655</v>
      </c>
      <c r="E116" s="218">
        <v>21867</v>
      </c>
      <c r="F116" s="219">
        <f>21867/166154*100</f>
        <v>13.160682258627537</v>
      </c>
      <c r="G116" s="219">
        <f>21867/21963*100-100</f>
        <v>-0.43709875700041323</v>
      </c>
      <c r="H116" s="218">
        <v>149891</v>
      </c>
      <c r="I116" s="218">
        <v>20240</v>
      </c>
    </row>
    <row r="117" spans="1:9" s="35" customFormat="1" ht="13.5">
      <c r="A117" s="52" t="s">
        <v>246</v>
      </c>
      <c r="B117" s="85" t="s">
        <v>247</v>
      </c>
      <c r="C117" s="220">
        <v>114492</v>
      </c>
      <c r="D117" s="215">
        <f>114492/50773*100-100</f>
        <v>125.49780395091878</v>
      </c>
      <c r="E117" s="220">
        <v>21608</v>
      </c>
      <c r="F117" s="221">
        <f>21608/114492*100</f>
        <v>18.872934353491946</v>
      </c>
      <c r="G117" s="254">
        <f>21608/3645*100-100</f>
        <v>492.8120713305899</v>
      </c>
      <c r="H117" s="220">
        <v>105995</v>
      </c>
      <c r="I117" s="220">
        <v>19980</v>
      </c>
    </row>
    <row r="118" spans="1:9" s="33" customFormat="1" ht="13.5">
      <c r="A118" s="50" t="s">
        <v>61</v>
      </c>
      <c r="B118" s="86" t="s">
        <v>125</v>
      </c>
      <c r="C118" s="218">
        <v>2454352</v>
      </c>
      <c r="D118" s="213">
        <f>2454352/1885942*100-100</f>
        <v>30.13931499484076</v>
      </c>
      <c r="E118" s="218">
        <v>1416055</v>
      </c>
      <c r="F118" s="219">
        <f>1416055/2454352*100</f>
        <v>57.695676903720418</v>
      </c>
      <c r="G118" s="219">
        <f>1416055/929224*100-100</f>
        <v>52.391134968532896</v>
      </c>
      <c r="H118" s="218">
        <v>1688543</v>
      </c>
      <c r="I118" s="218">
        <v>1198033</v>
      </c>
    </row>
    <row r="119" spans="1:9" s="34" customFormat="1" ht="24.4" customHeight="1">
      <c r="A119" s="52" t="s">
        <v>62</v>
      </c>
      <c r="B119" s="85" t="s">
        <v>376</v>
      </c>
      <c r="C119" s="220">
        <v>2140441</v>
      </c>
      <c r="D119" s="215">
        <f>2140441/1598294*100-100</f>
        <v>33.920355078602569</v>
      </c>
      <c r="E119" s="220">
        <v>1298317</v>
      </c>
      <c r="F119" s="221">
        <f>1298317/2140441*100</f>
        <v>60.656518913625746</v>
      </c>
      <c r="G119" s="221">
        <f>1298317/823315*100-100</f>
        <v>57.693835287830296</v>
      </c>
      <c r="H119" s="220">
        <v>1414718</v>
      </c>
      <c r="I119" s="220">
        <v>1094063</v>
      </c>
    </row>
    <row r="120" spans="1:9" s="35" customFormat="1" ht="13.5">
      <c r="A120" s="52" t="s">
        <v>248</v>
      </c>
      <c r="B120" s="85" t="s">
        <v>276</v>
      </c>
      <c r="C120" s="220">
        <v>212557</v>
      </c>
      <c r="D120" s="215">
        <f>212557/184987*100-100</f>
        <v>14.903749993242769</v>
      </c>
      <c r="E120" s="220">
        <v>107164</v>
      </c>
      <c r="F120" s="221">
        <f>107164/212557*100</f>
        <v>50.416594137102045</v>
      </c>
      <c r="G120" s="221">
        <f>107164/96396*100-100</f>
        <v>11.170587991202964</v>
      </c>
      <c r="H120" s="220">
        <v>173219</v>
      </c>
      <c r="I120" s="220">
        <v>93667</v>
      </c>
    </row>
    <row r="121" spans="1:9" s="33" customFormat="1" ht="24.4" customHeight="1">
      <c r="A121" s="50" t="s">
        <v>63</v>
      </c>
      <c r="B121" s="86" t="s">
        <v>377</v>
      </c>
      <c r="C121" s="218">
        <v>2067539</v>
      </c>
      <c r="D121" s="213">
        <f>2067539/1821061*100-100</f>
        <v>13.534856877391803</v>
      </c>
      <c r="E121" s="218">
        <v>170670</v>
      </c>
      <c r="F121" s="219">
        <f>170670/2067539*100</f>
        <v>8.2547415066898377</v>
      </c>
      <c r="G121" s="219">
        <f>170670/81935*100-100</f>
        <v>108.29926160981267</v>
      </c>
      <c r="H121" s="218">
        <v>2030719</v>
      </c>
      <c r="I121" s="218">
        <v>168902</v>
      </c>
    </row>
    <row r="122" spans="1:9" s="34" customFormat="1" ht="24.4" customHeight="1">
      <c r="A122" s="52" t="s">
        <v>64</v>
      </c>
      <c r="B122" s="85" t="s">
        <v>378</v>
      </c>
      <c r="C122" s="220">
        <v>1620567</v>
      </c>
      <c r="D122" s="215">
        <f>1620567/1532703*100-100</f>
        <v>5.7326174738354467</v>
      </c>
      <c r="E122" s="220">
        <v>45237</v>
      </c>
      <c r="F122" s="221">
        <f>45237/1620567*100</f>
        <v>2.7914304067650395</v>
      </c>
      <c r="G122" s="221">
        <f>45237/42117*100-100</f>
        <v>7.4079350381081213</v>
      </c>
      <c r="H122" s="220">
        <v>1598890</v>
      </c>
      <c r="I122" s="220">
        <v>43747</v>
      </c>
    </row>
    <row r="123" spans="1:9" s="34" customFormat="1" ht="13.5">
      <c r="A123" s="52" t="s">
        <v>65</v>
      </c>
      <c r="B123" s="77" t="s">
        <v>74</v>
      </c>
      <c r="C123" s="220">
        <v>1302721</v>
      </c>
      <c r="D123" s="215">
        <f>1302721/1246156*100-100</f>
        <v>4.5391588212069678</v>
      </c>
      <c r="E123" s="220">
        <v>20746</v>
      </c>
      <c r="F123" s="221">
        <f>20746/1302721*100</f>
        <v>1.5925129018416071</v>
      </c>
      <c r="G123" s="221">
        <f>20746/20255*100-100</f>
        <v>2.4240928165884839</v>
      </c>
      <c r="H123" s="220">
        <v>1297829</v>
      </c>
      <c r="I123" s="220">
        <v>19874</v>
      </c>
    </row>
    <row r="124" spans="1:9" s="35" customFormat="1" ht="13.5">
      <c r="A124" s="52" t="s">
        <v>66</v>
      </c>
      <c r="B124" s="85" t="s">
        <v>137</v>
      </c>
      <c r="C124" s="220">
        <v>56402</v>
      </c>
      <c r="D124" s="215">
        <f>56402/49144*100-100</f>
        <v>14.768842585056149</v>
      </c>
      <c r="E124" s="218" t="s">
        <v>444</v>
      </c>
      <c r="F124" s="218" t="s">
        <v>444</v>
      </c>
      <c r="G124" s="218" t="s">
        <v>444</v>
      </c>
      <c r="H124" s="220">
        <v>52762</v>
      </c>
      <c r="I124" s="218" t="s">
        <v>444</v>
      </c>
    </row>
    <row r="125" spans="1:9" s="34" customFormat="1" ht="24.4" customHeight="1">
      <c r="A125" s="52" t="s">
        <v>249</v>
      </c>
      <c r="B125" s="85" t="s">
        <v>379</v>
      </c>
      <c r="C125" s="220">
        <v>56231</v>
      </c>
      <c r="D125" s="215">
        <f>56231/44194*100-100</f>
        <v>27.236728967733171</v>
      </c>
      <c r="E125" s="220">
        <v>1189</v>
      </c>
      <c r="F125" s="221">
        <f>1189/56402*100</f>
        <v>2.1080812737136982</v>
      </c>
      <c r="G125" s="221">
        <f>1189/1097*100-100</f>
        <v>8.3865086599817573</v>
      </c>
      <c r="H125" s="220">
        <v>50455</v>
      </c>
      <c r="I125" s="220">
        <v>1150</v>
      </c>
    </row>
    <row r="126" spans="1:9" s="34" customFormat="1" ht="24.4" customHeight="1">
      <c r="A126" s="52" t="s">
        <v>67</v>
      </c>
      <c r="B126" s="85" t="s">
        <v>380</v>
      </c>
      <c r="C126" s="220">
        <v>446972</v>
      </c>
      <c r="D126" s="215">
        <f>446972/288358*100-100</f>
        <v>55.005930128520788</v>
      </c>
      <c r="E126" s="220">
        <v>125433</v>
      </c>
      <c r="F126" s="221">
        <f>125433/446972*100</f>
        <v>28.062831676257126</v>
      </c>
      <c r="G126" s="221">
        <f>125433/39818*100-100</f>
        <v>215.01582199005475</v>
      </c>
      <c r="H126" s="220">
        <v>431829</v>
      </c>
      <c r="I126" s="220">
        <v>125155</v>
      </c>
    </row>
    <row r="127" spans="1:9" s="34" customFormat="1" ht="13.5">
      <c r="A127" s="50"/>
      <c r="B127" s="78"/>
      <c r="C127" s="151"/>
      <c r="D127" s="51"/>
      <c r="E127" s="151"/>
      <c r="F127" s="153"/>
      <c r="G127" s="152"/>
      <c r="H127" s="152"/>
      <c r="I127" s="151"/>
    </row>
    <row r="128" spans="1:9" s="33" customFormat="1" ht="13.5">
      <c r="A128" s="50" t="s">
        <v>68</v>
      </c>
      <c r="B128" s="78" t="s">
        <v>127</v>
      </c>
      <c r="C128" s="218">
        <v>35975244</v>
      </c>
      <c r="D128" s="213">
        <f>35975244/36018872*100-100</f>
        <v>-0.1211253922665918</v>
      </c>
      <c r="E128" s="218">
        <v>14385658</v>
      </c>
      <c r="F128" s="219">
        <f>14385658/35975244*100</f>
        <v>39.987659291483894</v>
      </c>
      <c r="G128" s="219">
        <f>14385658/13486756*100-100</f>
        <v>6.665072015835392</v>
      </c>
      <c r="H128" s="218">
        <v>32524541</v>
      </c>
      <c r="I128" s="218">
        <v>12971213</v>
      </c>
    </row>
    <row r="129" spans="1:9" s="34" customFormat="1" ht="13.5">
      <c r="A129" s="50"/>
      <c r="B129" s="78"/>
      <c r="C129" s="151"/>
      <c r="D129" s="51"/>
      <c r="E129" s="151"/>
      <c r="F129" s="152"/>
      <c r="G129" s="152"/>
      <c r="H129" s="151"/>
      <c r="I129" s="151"/>
    </row>
    <row r="130" spans="1:9" s="33" customFormat="1" ht="13.5">
      <c r="A130" s="50" t="s">
        <v>69</v>
      </c>
      <c r="B130" s="76" t="s">
        <v>139</v>
      </c>
      <c r="C130" s="218">
        <v>9213384</v>
      </c>
      <c r="D130" s="213">
        <f>9213384/9243702*100-100</f>
        <v>-0.32798547594892113</v>
      </c>
      <c r="E130" s="218">
        <v>3710452</v>
      </c>
      <c r="F130" s="219">
        <f>3710452/9213384*100</f>
        <v>40.272412394837772</v>
      </c>
      <c r="G130" s="219">
        <f>3710452/3681388*100-100</f>
        <v>0.78948483561092075</v>
      </c>
      <c r="H130" s="218">
        <v>8170618</v>
      </c>
      <c r="I130" s="218">
        <v>3343451</v>
      </c>
    </row>
    <row r="131" spans="1:9" s="33" customFormat="1" ht="13.5">
      <c r="A131" s="50" t="s">
        <v>16</v>
      </c>
      <c r="B131" s="76" t="s">
        <v>140</v>
      </c>
      <c r="C131" s="218">
        <v>14556669</v>
      </c>
      <c r="D131" s="213">
        <f>14556669/13948779*100-100</f>
        <v>4.35801585214017</v>
      </c>
      <c r="E131" s="218">
        <v>7288076</v>
      </c>
      <c r="F131" s="219">
        <f>7288076/14556669*100</f>
        <v>50.066921216660212</v>
      </c>
      <c r="G131" s="219">
        <f>7288076/6240397*100-100</f>
        <v>16.788659439455529</v>
      </c>
      <c r="H131" s="218">
        <v>12820348</v>
      </c>
      <c r="I131" s="218">
        <v>6461931</v>
      </c>
    </row>
    <row r="132" spans="1:9" s="33" customFormat="1" ht="13.5">
      <c r="A132" s="50" t="s">
        <v>70</v>
      </c>
      <c r="B132" s="76" t="s">
        <v>141</v>
      </c>
      <c r="C132" s="218">
        <v>428730</v>
      </c>
      <c r="D132" s="213" t="s">
        <v>339</v>
      </c>
      <c r="E132" s="218">
        <v>185985</v>
      </c>
      <c r="F132" s="219">
        <f>185985/428730*100</f>
        <v>43.380449233783501</v>
      </c>
      <c r="G132" s="219">
        <f>185985/180513*100-100</f>
        <v>3.0313606222266571</v>
      </c>
      <c r="H132" s="218">
        <v>395896</v>
      </c>
      <c r="I132" s="218">
        <v>181134</v>
      </c>
    </row>
    <row r="133" spans="1:9" s="33" customFormat="1" ht="13.5">
      <c r="A133" s="50" t="s">
        <v>71</v>
      </c>
      <c r="B133" s="76" t="s">
        <v>142</v>
      </c>
      <c r="C133" s="218">
        <v>9520260</v>
      </c>
      <c r="D133" s="213">
        <f>9520260/9587082*100-100</f>
        <v>-0.69700040116481432</v>
      </c>
      <c r="E133" s="218">
        <v>2661420</v>
      </c>
      <c r="F133" s="219">
        <f>2661420/9520260*100</f>
        <v>27.955328951100071</v>
      </c>
      <c r="G133" s="219">
        <f>2661420/2746817*100-100</f>
        <v>-3.1089439158123753</v>
      </c>
      <c r="H133" s="218">
        <v>8904178</v>
      </c>
      <c r="I133" s="218">
        <v>2445260</v>
      </c>
    </row>
    <row r="134" spans="1:9" s="33" customFormat="1" ht="12.6" customHeight="1">
      <c r="A134" s="88" t="s">
        <v>72</v>
      </c>
      <c r="B134" s="89" t="s">
        <v>126</v>
      </c>
      <c r="C134" s="226">
        <v>2256201</v>
      </c>
      <c r="D134" s="217">
        <f>2256201/2802596*100-100</f>
        <v>-19.496031536475471</v>
      </c>
      <c r="E134" s="226">
        <v>539725</v>
      </c>
      <c r="F134" s="246">
        <f>539725/2256201*100</f>
        <v>23.921849161488716</v>
      </c>
      <c r="G134" s="246">
        <f>539725/637641*100-100</f>
        <v>-15.355976168408247</v>
      </c>
      <c r="H134" s="226">
        <v>2233501</v>
      </c>
      <c r="I134" s="226">
        <v>539438</v>
      </c>
    </row>
    <row r="135" spans="1:9" s="34" customFormat="1" ht="13.5" hidden="1">
      <c r="A135" s="44"/>
      <c r="B135" s="44"/>
      <c r="C135" s="45"/>
      <c r="D135" s="45"/>
      <c r="E135" s="158"/>
      <c r="F135" s="158"/>
      <c r="G135" s="158"/>
      <c r="H135" s="158"/>
      <c r="I135" s="158"/>
    </row>
    <row r="136" spans="1:9" s="34" customFormat="1" ht="13.5">
      <c r="A136" s="79"/>
      <c r="B136" s="79"/>
      <c r="C136" s="80"/>
      <c r="D136" s="80"/>
      <c r="E136" s="159"/>
      <c r="F136" s="159"/>
      <c r="G136" s="159"/>
      <c r="H136" s="159"/>
      <c r="I136" s="159"/>
    </row>
    <row r="137" spans="1:9" s="34" customFormat="1" ht="13.5">
      <c r="A137" s="42"/>
      <c r="B137" s="42"/>
      <c r="C137" s="43"/>
      <c r="D137" s="43"/>
      <c r="E137" s="157"/>
      <c r="F137" s="157"/>
      <c r="G137" s="157"/>
      <c r="H137" s="157"/>
      <c r="I137" s="157"/>
    </row>
    <row r="138" spans="1:9" s="34" customFormat="1" ht="13.5">
      <c r="A138" s="42"/>
      <c r="B138" s="42"/>
      <c r="C138" s="43"/>
      <c r="D138" s="43"/>
      <c r="E138" s="157"/>
      <c r="F138" s="157"/>
      <c r="G138" s="157"/>
      <c r="H138" s="157"/>
      <c r="I138" s="157"/>
    </row>
    <row r="139" spans="1:9" s="34" customFormat="1" ht="13.5">
      <c r="A139" s="42"/>
      <c r="B139" s="42"/>
      <c r="C139" s="43"/>
      <c r="D139" s="43"/>
      <c r="E139" s="157"/>
      <c r="F139" s="157"/>
      <c r="G139" s="157"/>
      <c r="H139" s="157"/>
      <c r="I139" s="157"/>
    </row>
    <row r="140" spans="1:9" s="34" customFormat="1" ht="13.5">
      <c r="A140" s="42"/>
      <c r="B140" s="42"/>
      <c r="C140" s="43"/>
      <c r="D140" s="43"/>
      <c r="E140" s="157"/>
      <c r="F140" s="157"/>
      <c r="G140" s="157"/>
      <c r="H140" s="157"/>
      <c r="I140" s="157"/>
    </row>
    <row r="141" spans="1:9" s="34" customFormat="1" ht="13.5">
      <c r="A141" s="42"/>
      <c r="B141" s="42"/>
      <c r="C141" s="43"/>
      <c r="D141" s="43"/>
      <c r="E141" s="157"/>
      <c r="F141" s="157"/>
      <c r="G141" s="157"/>
      <c r="H141" s="157"/>
      <c r="I141" s="157"/>
    </row>
    <row r="142" spans="1:9" s="34" customFormat="1" ht="13.5">
      <c r="A142" s="42"/>
      <c r="B142" s="42"/>
      <c r="C142" s="43"/>
      <c r="D142" s="43"/>
      <c r="E142" s="157"/>
      <c r="F142" s="157"/>
      <c r="G142" s="157"/>
      <c r="H142" s="157"/>
      <c r="I142" s="157"/>
    </row>
    <row r="143" spans="1:9" s="34" customFormat="1" ht="13.5">
      <c r="A143" s="42"/>
      <c r="B143" s="42"/>
      <c r="C143" s="43"/>
      <c r="D143" s="43"/>
      <c r="E143" s="157"/>
      <c r="F143" s="157"/>
      <c r="G143" s="157"/>
      <c r="H143" s="157"/>
      <c r="I143" s="157"/>
    </row>
    <row r="144" spans="1:9" s="34" customFormat="1" ht="13.5">
      <c r="A144" s="42"/>
      <c r="B144" s="42"/>
      <c r="C144" s="43"/>
      <c r="D144" s="43"/>
      <c r="E144" s="157"/>
      <c r="F144" s="157"/>
      <c r="G144" s="157"/>
      <c r="H144" s="157"/>
      <c r="I144" s="157"/>
    </row>
    <row r="145" spans="1:9" s="34" customFormat="1" ht="13.5">
      <c r="A145" s="42"/>
      <c r="B145" s="42"/>
      <c r="C145" s="43"/>
      <c r="D145" s="43"/>
      <c r="E145" s="157"/>
      <c r="F145" s="157"/>
      <c r="G145" s="157"/>
      <c r="H145" s="157"/>
      <c r="I145" s="157"/>
    </row>
    <row r="146" spans="1:9" s="34" customFormat="1" ht="13.5">
      <c r="A146" s="42"/>
      <c r="B146" s="42"/>
      <c r="C146" s="43"/>
      <c r="D146" s="43"/>
      <c r="E146" s="157"/>
      <c r="F146" s="157"/>
      <c r="G146" s="157"/>
      <c r="H146" s="157"/>
      <c r="I146" s="157"/>
    </row>
    <row r="147" spans="1:9" s="34" customFormat="1" ht="13.5">
      <c r="A147" s="42"/>
      <c r="B147" s="42"/>
      <c r="C147" s="43"/>
      <c r="D147" s="43"/>
      <c r="E147" s="157"/>
      <c r="F147" s="157"/>
      <c r="G147" s="157"/>
      <c r="H147" s="157"/>
      <c r="I147" s="157"/>
    </row>
    <row r="148" spans="1:9" s="34" customFormat="1" ht="13.5">
      <c r="A148" s="42"/>
      <c r="B148" s="42"/>
      <c r="C148" s="43"/>
      <c r="D148" s="43"/>
      <c r="E148" s="157"/>
      <c r="F148" s="157"/>
      <c r="G148" s="157"/>
      <c r="H148" s="157"/>
      <c r="I148" s="157"/>
    </row>
    <row r="149" spans="1:9" s="34" customFormat="1" ht="13.5">
      <c r="A149" s="42"/>
      <c r="B149" s="42"/>
      <c r="C149" s="43"/>
      <c r="D149" s="43"/>
      <c r="E149" s="157"/>
      <c r="F149" s="157"/>
      <c r="G149" s="157"/>
      <c r="H149" s="157"/>
      <c r="I149" s="157"/>
    </row>
    <row r="150" spans="1:9" s="34" customFormat="1" ht="13.5">
      <c r="A150" s="42"/>
      <c r="B150" s="42"/>
      <c r="C150" s="43"/>
      <c r="D150" s="43"/>
      <c r="E150" s="157"/>
      <c r="F150" s="157"/>
      <c r="G150" s="157"/>
      <c r="H150" s="157"/>
      <c r="I150" s="157"/>
    </row>
    <row r="151" spans="1:9" s="34" customFormat="1" ht="13.5">
      <c r="A151" s="42"/>
      <c r="B151" s="42"/>
      <c r="C151" s="43"/>
      <c r="D151" s="43"/>
      <c r="E151" s="157"/>
      <c r="F151" s="157"/>
      <c r="G151" s="157"/>
      <c r="H151" s="157"/>
      <c r="I151" s="157"/>
    </row>
    <row r="152" spans="1:9" s="34" customFormat="1" ht="13.5">
      <c r="A152" s="42"/>
      <c r="B152" s="42"/>
      <c r="C152" s="43"/>
      <c r="D152" s="43"/>
      <c r="E152" s="157"/>
      <c r="F152" s="157"/>
      <c r="G152" s="157"/>
      <c r="H152" s="157"/>
      <c r="I152" s="157"/>
    </row>
    <row r="153" spans="1:9" s="34" customFormat="1" ht="13.5">
      <c r="A153" s="42"/>
      <c r="B153" s="42"/>
      <c r="C153" s="43"/>
      <c r="D153" s="43"/>
      <c r="E153" s="157"/>
      <c r="F153" s="157"/>
      <c r="G153" s="157"/>
      <c r="H153" s="157"/>
      <c r="I153" s="157"/>
    </row>
    <row r="154" spans="1:9" s="34" customFormat="1" ht="13.5">
      <c r="A154" s="42"/>
      <c r="B154" s="42"/>
      <c r="C154" s="43"/>
      <c r="D154" s="43"/>
      <c r="E154" s="157"/>
      <c r="F154" s="157"/>
      <c r="G154" s="157"/>
      <c r="H154" s="157"/>
      <c r="I154" s="157"/>
    </row>
    <row r="155" spans="1:9" s="34" customFormat="1" ht="13.5">
      <c r="A155" s="42"/>
      <c r="B155" s="42"/>
      <c r="C155" s="43"/>
      <c r="D155" s="43"/>
      <c r="E155" s="157"/>
      <c r="F155" s="157"/>
      <c r="G155" s="157"/>
      <c r="H155" s="157"/>
      <c r="I155" s="157"/>
    </row>
  </sheetData>
  <mergeCells count="12">
    <mergeCell ref="E7:F7"/>
    <mergeCell ref="A1:I1"/>
    <mergeCell ref="A2:I2"/>
    <mergeCell ref="A3:I3"/>
    <mergeCell ref="A5:A8"/>
    <mergeCell ref="B5:B8"/>
    <mergeCell ref="C6:D6"/>
    <mergeCell ref="E6:G6"/>
    <mergeCell ref="C5:G5"/>
    <mergeCell ref="H5:I5"/>
    <mergeCell ref="H7:I7"/>
    <mergeCell ref="H8:I8"/>
  </mergeCells>
  <conditionalFormatting sqref="A9:I134">
    <cfRule type="expression" dxfId="26" priority="60">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Normal="100" workbookViewId="0">
      <selection sqref="A1:D1"/>
    </sheetView>
  </sheetViews>
  <sheetFormatPr baseColWidth="10" defaultColWidth="11.42578125" defaultRowHeight="12.75"/>
  <cols>
    <col min="1" max="1" width="33.28515625" style="34" customWidth="1"/>
    <col min="2" max="4" width="19.42578125" style="34" customWidth="1"/>
    <col min="5" max="5" width="11.42578125" style="2" hidden="1" customWidth="1"/>
    <col min="6" max="6" width="11.42578125" style="2"/>
    <col min="7" max="26" width="1.7109375" style="2" customWidth="1"/>
    <col min="27" max="16384" width="11.42578125" style="2"/>
  </cols>
  <sheetData>
    <row r="1" spans="1:5">
      <c r="A1" s="297" t="s">
        <v>290</v>
      </c>
      <c r="B1" s="297"/>
      <c r="C1" s="297"/>
      <c r="D1" s="297"/>
    </row>
    <row r="2" spans="1:5">
      <c r="A2" s="297" t="s">
        <v>459</v>
      </c>
      <c r="B2" s="297"/>
      <c r="C2" s="297"/>
      <c r="D2" s="297"/>
    </row>
    <row r="3" spans="1:5" ht="19.899999999999999" customHeight="1">
      <c r="A3" s="298" t="s">
        <v>296</v>
      </c>
      <c r="B3" s="298"/>
      <c r="C3" s="298"/>
      <c r="D3" s="298"/>
    </row>
    <row r="4" spans="1:5">
      <c r="A4" s="102"/>
      <c r="B4" s="102"/>
      <c r="C4" s="102"/>
      <c r="D4" s="102"/>
    </row>
    <row r="5" spans="1:5" ht="48.2" customHeight="1">
      <c r="A5" s="299" t="s">
        <v>291</v>
      </c>
      <c r="B5" s="59" t="s">
        <v>12</v>
      </c>
      <c r="C5" s="59" t="s">
        <v>100</v>
      </c>
      <c r="D5" s="82" t="s">
        <v>1</v>
      </c>
    </row>
    <row r="6" spans="1:5" ht="18.600000000000001" customHeight="1">
      <c r="A6" s="299"/>
      <c r="B6" s="56" t="s">
        <v>251</v>
      </c>
      <c r="C6" s="56"/>
      <c r="D6" s="123" t="s">
        <v>2</v>
      </c>
    </row>
    <row r="7" spans="1:5">
      <c r="A7" s="93"/>
      <c r="B7" s="90"/>
      <c r="C7" s="90"/>
      <c r="D7" s="91"/>
    </row>
    <row r="8" spans="1:5" ht="13.5">
      <c r="A8" s="105" t="s">
        <v>252</v>
      </c>
      <c r="B8" s="227">
        <v>33</v>
      </c>
      <c r="C8" s="227">
        <v>4919</v>
      </c>
      <c r="D8" s="227">
        <v>208334</v>
      </c>
      <c r="E8" s="228">
        <v>-97.546700981133938</v>
      </c>
    </row>
    <row r="9" spans="1:5" ht="13.5">
      <c r="A9" s="105" t="s">
        <v>253</v>
      </c>
      <c r="B9" s="227">
        <v>75</v>
      </c>
      <c r="C9" s="227">
        <v>10600</v>
      </c>
      <c r="D9" s="227">
        <v>591798</v>
      </c>
      <c r="E9" s="228">
        <v>-98.006460155933141</v>
      </c>
    </row>
    <row r="10" spans="1:5" ht="13.5">
      <c r="A10" s="105" t="s">
        <v>254</v>
      </c>
      <c r="B10" s="227">
        <v>75</v>
      </c>
      <c r="C10" s="227">
        <v>13096</v>
      </c>
      <c r="D10" s="227">
        <v>687622</v>
      </c>
      <c r="E10" s="228">
        <v>-97.799141972014212</v>
      </c>
    </row>
    <row r="11" spans="1:5" ht="15.6" customHeight="1">
      <c r="A11" s="105" t="s">
        <v>255</v>
      </c>
      <c r="B11" s="227">
        <v>43</v>
      </c>
      <c r="C11" s="227">
        <v>4202</v>
      </c>
      <c r="D11" s="227">
        <v>200539</v>
      </c>
      <c r="E11" s="228">
        <v>-97.840067878711565</v>
      </c>
    </row>
    <row r="12" spans="1:5" ht="15.6" customHeight="1">
      <c r="A12" s="105" t="s">
        <v>256</v>
      </c>
      <c r="B12" s="227">
        <v>57</v>
      </c>
      <c r="C12" s="227">
        <v>5759</v>
      </c>
      <c r="D12" s="227">
        <v>267508</v>
      </c>
      <c r="E12" s="228">
        <v>-97.756081463168499</v>
      </c>
    </row>
    <row r="13" spans="1:5" ht="13.5">
      <c r="A13" s="105" t="s">
        <v>257</v>
      </c>
      <c r="B13" s="227">
        <v>86</v>
      </c>
      <c r="C13" s="227">
        <v>6528</v>
      </c>
      <c r="D13" s="227">
        <v>302590</v>
      </c>
      <c r="E13" s="228">
        <v>-97.715759415651817</v>
      </c>
    </row>
    <row r="14" spans="1:5" ht="13.5">
      <c r="A14" s="105" t="s">
        <v>258</v>
      </c>
      <c r="B14" s="227">
        <v>53</v>
      </c>
      <c r="C14" s="227">
        <v>5480</v>
      </c>
      <c r="D14" s="227">
        <v>215083</v>
      </c>
      <c r="E14" s="228">
        <v>-97.386446978649772</v>
      </c>
    </row>
    <row r="15" spans="1:5" ht="13.5">
      <c r="A15" s="105" t="s">
        <v>259</v>
      </c>
      <c r="B15" s="227">
        <v>59</v>
      </c>
      <c r="C15" s="227">
        <v>5545</v>
      </c>
      <c r="D15" s="227">
        <v>200860</v>
      </c>
      <c r="E15" s="228">
        <v>-97.12972250344356</v>
      </c>
    </row>
    <row r="16" spans="1:5" ht="12.6" customHeight="1">
      <c r="A16" s="105" t="s">
        <v>260</v>
      </c>
      <c r="B16" s="227">
        <v>162</v>
      </c>
      <c r="C16" s="227">
        <v>16130</v>
      </c>
      <c r="D16" s="227">
        <v>761463</v>
      </c>
      <c r="E16" s="228">
        <v>-97.831241099304009</v>
      </c>
    </row>
    <row r="17" spans="1:5" ht="13.5">
      <c r="A17" s="105" t="s">
        <v>261</v>
      </c>
      <c r="B17" s="227">
        <v>34</v>
      </c>
      <c r="C17" s="227">
        <v>2476</v>
      </c>
      <c r="D17" s="227">
        <v>90095</v>
      </c>
      <c r="E17" s="228">
        <v>-97.299137954446081</v>
      </c>
    </row>
    <row r="18" spans="1:5" ht="13.5">
      <c r="A18" s="105" t="s">
        <v>262</v>
      </c>
      <c r="B18" s="227">
        <v>93</v>
      </c>
      <c r="C18" s="227">
        <v>7319</v>
      </c>
      <c r="D18" s="227">
        <v>297381</v>
      </c>
      <c r="E18" s="228">
        <v>-97.489066141466282</v>
      </c>
    </row>
    <row r="19" spans="1:5" ht="13.5">
      <c r="A19" s="105" t="s">
        <v>263</v>
      </c>
      <c r="B19" s="227">
        <v>82</v>
      </c>
      <c r="C19" s="227">
        <v>5064</v>
      </c>
      <c r="D19" s="227">
        <v>156693</v>
      </c>
      <c r="E19" s="228">
        <v>-96.749966567989432</v>
      </c>
    </row>
    <row r="20" spans="1:5" ht="14.45" customHeight="1">
      <c r="A20" s="105" t="s">
        <v>264</v>
      </c>
      <c r="B20" s="227">
        <v>160</v>
      </c>
      <c r="C20" s="227">
        <v>15442</v>
      </c>
      <c r="D20" s="227">
        <v>723555</v>
      </c>
      <c r="E20" s="228">
        <v>-97.690971805609706</v>
      </c>
    </row>
    <row r="21" spans="1:5" ht="13.5">
      <c r="A21" s="105" t="s">
        <v>265</v>
      </c>
      <c r="B21" s="227">
        <v>63</v>
      </c>
      <c r="C21" s="227">
        <v>5779</v>
      </c>
      <c r="D21" s="227">
        <v>239206</v>
      </c>
      <c r="E21" s="228">
        <v>-97.437345346178589</v>
      </c>
    </row>
    <row r="22" spans="1:5" ht="13.5">
      <c r="A22" s="105" t="s">
        <v>266</v>
      </c>
      <c r="B22" s="227">
        <v>134</v>
      </c>
      <c r="C22" s="227">
        <v>15679</v>
      </c>
      <c r="D22" s="227">
        <v>736954</v>
      </c>
      <c r="E22" s="228">
        <v>-97.801111591182817</v>
      </c>
    </row>
    <row r="23" spans="1:5" ht="13.5">
      <c r="A23" s="105"/>
      <c r="B23" s="112"/>
      <c r="C23" s="112"/>
      <c r="D23" s="112"/>
    </row>
    <row r="24" spans="1:5" s="38" customFormat="1" ht="13.5">
      <c r="A24" s="106" t="s">
        <v>267</v>
      </c>
      <c r="B24" s="229">
        <v>1209</v>
      </c>
      <c r="C24" s="229">
        <v>124018</v>
      </c>
      <c r="D24" s="230">
        <v>5679681</v>
      </c>
      <c r="E24" s="231">
        <v>-97.687002865197499</v>
      </c>
    </row>
    <row r="25" spans="1:5">
      <c r="A25" s="113"/>
      <c r="B25" s="113"/>
      <c r="C25" s="113"/>
      <c r="D25" s="114"/>
    </row>
    <row r="26" spans="1:5">
      <c r="A26" s="113"/>
      <c r="B26" s="113"/>
      <c r="C26" s="113"/>
      <c r="D26" s="114"/>
    </row>
    <row r="27" spans="1:5">
      <c r="A27" s="115"/>
      <c r="B27" s="115"/>
      <c r="C27" s="115"/>
      <c r="D27" s="115"/>
    </row>
    <row r="28" spans="1:5">
      <c r="A28" s="102" t="s">
        <v>289</v>
      </c>
      <c r="B28" s="102"/>
      <c r="C28" s="102"/>
      <c r="D28" s="102"/>
    </row>
    <row r="29" spans="1:5">
      <c r="A29" s="102"/>
      <c r="B29" s="102"/>
      <c r="C29" s="102"/>
      <c r="D29" s="102"/>
    </row>
    <row r="30" spans="1:5" ht="48.2" customHeight="1">
      <c r="A30" s="296" t="s">
        <v>292</v>
      </c>
      <c r="B30" s="116" t="s">
        <v>12</v>
      </c>
      <c r="C30" s="116" t="s">
        <v>100</v>
      </c>
      <c r="D30" s="117" t="s">
        <v>1</v>
      </c>
    </row>
    <row r="31" spans="1:5" ht="18.600000000000001" customHeight="1">
      <c r="A31" s="296"/>
      <c r="B31" s="118" t="s">
        <v>251</v>
      </c>
      <c r="C31" s="118"/>
      <c r="D31" s="119" t="s">
        <v>2</v>
      </c>
    </row>
    <row r="32" spans="1:5" ht="13.5">
      <c r="A32" s="120"/>
      <c r="B32" s="48"/>
      <c r="C32" s="48"/>
      <c r="D32" s="121"/>
    </row>
    <row r="33" spans="1:5" ht="13.5">
      <c r="A33" s="130" t="s">
        <v>252</v>
      </c>
      <c r="B33" s="232">
        <f>33/34*100-100</f>
        <v>-2.941176470588232</v>
      </c>
      <c r="C33" s="233">
        <f>4949/4735/100*100</f>
        <v>1.04519535374868</v>
      </c>
      <c r="D33" s="233">
        <f>208334/199108*100-100</f>
        <v>4.6336661510335944</v>
      </c>
      <c r="E33" s="228">
        <v>-182.44378126083416</v>
      </c>
    </row>
    <row r="34" spans="1:5" ht="13.5">
      <c r="A34" s="105" t="s">
        <v>253</v>
      </c>
      <c r="B34" s="255">
        <v>0</v>
      </c>
      <c r="C34" s="233">
        <f>10600/10615*100-100</f>
        <v>-0.14130946773434516</v>
      </c>
      <c r="D34" s="233">
        <f>591798/581252*100-100</f>
        <v>1.814359348440945</v>
      </c>
      <c r="E34" s="228">
        <v>-98.458423326221308</v>
      </c>
    </row>
    <row r="35" spans="1:5" ht="13.5">
      <c r="A35" s="105" t="s">
        <v>254</v>
      </c>
      <c r="B35" s="255">
        <v>0</v>
      </c>
      <c r="C35" s="233">
        <f>13096/13454*100-100</f>
        <v>-2.6609186858926677</v>
      </c>
      <c r="D35" s="233">
        <f>687622/528830*100-100</f>
        <v>30.027040825974325</v>
      </c>
      <c r="E35" s="228">
        <v>-114.53553244738811</v>
      </c>
    </row>
    <row r="36" spans="1:5" ht="13.5">
      <c r="A36" s="105" t="s">
        <v>255</v>
      </c>
      <c r="B36" s="255">
        <v>0</v>
      </c>
      <c r="C36" s="233">
        <f>4202/4273*100-100</f>
        <v>-1.6615960683360669</v>
      </c>
      <c r="D36" s="233">
        <f>200539/201319*100-100</f>
        <v>-0.38744480153388849</v>
      </c>
      <c r="E36" s="228">
        <v>0</v>
      </c>
    </row>
    <row r="37" spans="1:5" ht="15.6" customHeight="1">
      <c r="A37" s="105" t="s">
        <v>256</v>
      </c>
      <c r="B37" s="232">
        <f>57/59*100-100</f>
        <v>-3.3898305084745743</v>
      </c>
      <c r="C37" s="233">
        <f>5759/5775*100-100</f>
        <v>-0.27705627705627478</v>
      </c>
      <c r="D37" s="233">
        <f>276508/258150*100-100</f>
        <v>7.1113693588998643</v>
      </c>
      <c r="E37" s="228">
        <v>-133.07188633934246</v>
      </c>
    </row>
    <row r="38" spans="1:5" ht="13.5">
      <c r="A38" s="105" t="s">
        <v>257</v>
      </c>
      <c r="B38" s="232">
        <f>86/88*100-100</f>
        <v>-2.2727272727272663</v>
      </c>
      <c r="C38" s="233">
        <f>6528/6801*100-100</f>
        <v>-4.0141155712395147</v>
      </c>
      <c r="D38" s="233">
        <f>302590/307222*100-100</f>
        <v>-1.5077045263685562</v>
      </c>
      <c r="E38" s="228">
        <v>0</v>
      </c>
    </row>
    <row r="39" spans="1:5" ht="13.5">
      <c r="A39" s="105" t="s">
        <v>258</v>
      </c>
      <c r="B39" s="232">
        <f>53/52*100-100</f>
        <v>1.9230769230769198</v>
      </c>
      <c r="C39" s="233">
        <f>6528/5349*100-100</f>
        <v>22.041503084688728</v>
      </c>
      <c r="D39" s="233">
        <f>215083/203920*100-100</f>
        <v>5.4742055708120887</v>
      </c>
      <c r="E39" s="228">
        <v>-120.46692958106394</v>
      </c>
    </row>
    <row r="40" spans="1:5" ht="13.5">
      <c r="A40" s="105" t="s">
        <v>259</v>
      </c>
      <c r="B40" s="232">
        <f>59/57*100-100</f>
        <v>3.5087719298245759</v>
      </c>
      <c r="C40" s="233">
        <f>5545/5444*100-100</f>
        <v>1.8552534900808269</v>
      </c>
      <c r="D40" s="233">
        <f>200860/192934*100-100</f>
        <v>4.1081406076689575</v>
      </c>
      <c r="E40" s="228">
        <v>-62.460929192149685</v>
      </c>
    </row>
    <row r="41" spans="1:5" ht="15" customHeight="1">
      <c r="A41" s="105" t="s">
        <v>260</v>
      </c>
      <c r="B41" s="232">
        <f>162/169*100-100</f>
        <v>-4.1420118343195327</v>
      </c>
      <c r="C41" s="233">
        <f>16130/16414*100-100</f>
        <v>-1.7302302912148235</v>
      </c>
      <c r="D41" s="233">
        <f>761463/774728*100-100</f>
        <v>-1.712213835049198</v>
      </c>
      <c r="E41" s="228">
        <v>0</v>
      </c>
    </row>
    <row r="42" spans="1:5" ht="13.5">
      <c r="A42" s="105" t="s">
        <v>261</v>
      </c>
      <c r="B42" s="232">
        <f>34/33*100-100</f>
        <v>3.0303030303030312</v>
      </c>
      <c r="C42" s="233">
        <f>2476/2312*100-100</f>
        <v>7.0934256055363392</v>
      </c>
      <c r="D42" s="233">
        <f>90095/85924*100-100</f>
        <v>4.8542898375308425</v>
      </c>
      <c r="E42" s="228">
        <v>0</v>
      </c>
    </row>
    <row r="43" spans="1:5" ht="13.5">
      <c r="A43" s="105" t="s">
        <v>262</v>
      </c>
      <c r="B43" s="232">
        <f>93/95*100-100</f>
        <v>-2.1052631578947256</v>
      </c>
      <c r="C43" s="233">
        <f>7319/7337*100-100</f>
        <v>-0.24533187951479363</v>
      </c>
      <c r="D43" s="233">
        <f>297381/307910*100-100</f>
        <v>-3.4195056997174476</v>
      </c>
      <c r="E43" s="228">
        <v>-70.498423661776513</v>
      </c>
    </row>
    <row r="44" spans="1:5" ht="13.5">
      <c r="A44" s="105" t="s">
        <v>263</v>
      </c>
      <c r="B44" s="232">
        <f>82/81*100-100</f>
        <v>1.2345679012345698</v>
      </c>
      <c r="C44" s="233">
        <f>5064/4926*100-100</f>
        <v>2.801461632155906</v>
      </c>
      <c r="D44" s="233">
        <f>156693/151515*100-100</f>
        <v>3.4174834174834245</v>
      </c>
      <c r="E44" s="228">
        <v>-68.954581468746426</v>
      </c>
    </row>
    <row r="45" spans="1:5" ht="15" customHeight="1">
      <c r="A45" s="105" t="s">
        <v>264</v>
      </c>
      <c r="B45" s="232">
        <f>160/156*100-100</f>
        <v>2.564102564102555</v>
      </c>
      <c r="C45" s="233">
        <f>15442/15012*100-100</f>
        <v>2.8643751665334349</v>
      </c>
      <c r="D45" s="233">
        <f>723555/663085*100-100</f>
        <v>9.1194944841159042</v>
      </c>
      <c r="E45" s="228">
        <v>-69.62817260159089</v>
      </c>
    </row>
    <row r="46" spans="1:5" ht="13.5">
      <c r="A46" s="105" t="s">
        <v>265</v>
      </c>
      <c r="B46" s="232">
        <f>63/62*100-100</f>
        <v>1.6129032258064484</v>
      </c>
      <c r="C46" s="233">
        <f>5779/5680*100-100</f>
        <v>1.7429577464788792</v>
      </c>
      <c r="D46" s="233">
        <f>239206/231964*100-100</f>
        <v>3.1220361780276278</v>
      </c>
      <c r="E46" s="228">
        <v>0</v>
      </c>
    </row>
    <row r="47" spans="1:5" ht="13.5">
      <c r="A47" s="105" t="s">
        <v>266</v>
      </c>
      <c r="B47" s="232">
        <f>134/132*100-100</f>
        <v>1.5151515151515156</v>
      </c>
      <c r="C47" s="233">
        <f>15679/15734*100-100</f>
        <v>-0.34956145926020099</v>
      </c>
      <c r="D47" s="233">
        <f>736954/735041*100-100</f>
        <v>0.26025759107315594</v>
      </c>
      <c r="E47" s="228">
        <v>-51.057135617327013</v>
      </c>
    </row>
    <row r="48" spans="1:5" ht="13.5">
      <c r="A48" s="105"/>
      <c r="B48" s="150"/>
      <c r="C48" s="111"/>
      <c r="D48" s="111"/>
    </row>
    <row r="49" spans="1:5" ht="13.5">
      <c r="A49" s="122" t="s">
        <v>267</v>
      </c>
      <c r="B49" s="236">
        <f>1209/1211*100-100</f>
        <v>-0.16515276630883591</v>
      </c>
      <c r="C49" s="236">
        <f>124018/123861*100-100</f>
        <v>0.126754991482386</v>
      </c>
      <c r="D49" s="236">
        <f>5679681/5422903*100-100</f>
        <v>4.7350653330882011</v>
      </c>
      <c r="E49" s="228">
        <v>-117.44904914700409</v>
      </c>
    </row>
    <row r="50" spans="1:5">
      <c r="A50" s="92"/>
      <c r="B50" s="92"/>
      <c r="C50" s="92"/>
      <c r="D50" s="92"/>
    </row>
  </sheetData>
  <mergeCells count="5">
    <mergeCell ref="A30:A31"/>
    <mergeCell ref="A1:D1"/>
    <mergeCell ref="A2:D2"/>
    <mergeCell ref="A3:D3"/>
    <mergeCell ref="A5:A6"/>
  </mergeCells>
  <conditionalFormatting sqref="A8:A11 C24:D24 D23 A13:A24 A7:D7">
    <cfRule type="expression" dxfId="25" priority="40">
      <formula>MOD(ROW(),2)=0</formula>
    </cfRule>
  </conditionalFormatting>
  <conditionalFormatting sqref="A49 C49:D49 A32:D48">
    <cfRule type="expression" dxfId="24" priority="39">
      <formula>MOD(ROW(),2)=1</formula>
    </cfRule>
  </conditionalFormatting>
  <conditionalFormatting sqref="B49">
    <cfRule type="expression" dxfId="23" priority="36">
      <formula>MOD(ROW(),2)=1</formula>
    </cfRule>
  </conditionalFormatting>
  <conditionalFormatting sqref="C23">
    <cfRule type="expression" dxfId="22" priority="34">
      <formula>MOD(ROW(),2)=0</formula>
    </cfRule>
  </conditionalFormatting>
  <conditionalFormatting sqref="B8:B11 B24 B13:B22">
    <cfRule type="expression" dxfId="21" priority="33">
      <formula>MOD(ROW(),2)=0</formula>
    </cfRule>
  </conditionalFormatting>
  <conditionalFormatting sqref="B23">
    <cfRule type="expression" dxfId="20" priority="32">
      <formula>MOD(ROW(),2)=0</formula>
    </cfRule>
  </conditionalFormatting>
  <conditionalFormatting sqref="C8:D8">
    <cfRule type="expression" dxfId="19" priority="31">
      <formula>MOD(ROW(),2)=0</formula>
    </cfRule>
  </conditionalFormatting>
  <conditionalFormatting sqref="C10:D10">
    <cfRule type="expression" dxfId="18" priority="30">
      <formula>MOD(ROW(),2)=0</formula>
    </cfRule>
  </conditionalFormatting>
  <conditionalFormatting sqref="A12">
    <cfRule type="expression" dxfId="17" priority="29">
      <formula>MOD(ROW(),2)=0</formula>
    </cfRule>
  </conditionalFormatting>
  <conditionalFormatting sqref="B12">
    <cfRule type="expression" dxfId="16" priority="28">
      <formula>MOD(ROW(),2)=0</formula>
    </cfRule>
  </conditionalFormatting>
  <conditionalFormatting sqref="C12:D12">
    <cfRule type="expression" dxfId="15" priority="27">
      <formula>MOD(ROW(),2)=0</formula>
    </cfRule>
  </conditionalFormatting>
  <conditionalFormatting sqref="C9:D9">
    <cfRule type="expression" dxfId="14" priority="26">
      <formula>MOD(ROW(),2)=0</formula>
    </cfRule>
  </conditionalFormatting>
  <conditionalFormatting sqref="C11:D11">
    <cfRule type="expression" dxfId="13" priority="25">
      <formula>MOD(ROW(),2)=0</formula>
    </cfRule>
  </conditionalFormatting>
  <conditionalFormatting sqref="C13:D13">
    <cfRule type="expression" dxfId="12" priority="24">
      <formula>MOD(ROW(),2)=0</formula>
    </cfRule>
  </conditionalFormatting>
  <conditionalFormatting sqref="C14:D14">
    <cfRule type="expression" dxfId="11" priority="23">
      <formula>MOD(ROW(),2)=0</formula>
    </cfRule>
  </conditionalFormatting>
  <conditionalFormatting sqref="C15:D16">
    <cfRule type="expression" dxfId="10" priority="22">
      <formula>MOD(ROW(),2)=0</formula>
    </cfRule>
  </conditionalFormatting>
  <conditionalFormatting sqref="C17:D22">
    <cfRule type="expression" dxfId="9" priority="2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Normal="100" workbookViewId="0">
      <selection sqref="A1:E1"/>
    </sheetView>
  </sheetViews>
  <sheetFormatPr baseColWidth="10" defaultColWidth="11.42578125" defaultRowHeight="12.75"/>
  <cols>
    <col min="1" max="1" width="31.7109375" style="34" customWidth="1"/>
    <col min="2" max="5" width="14.7109375" style="34" customWidth="1"/>
    <col min="6" max="6" width="11.42578125" style="2"/>
    <col min="7" max="26" width="1.7109375" style="2" customWidth="1"/>
    <col min="27" max="16384" width="11.42578125" style="2"/>
  </cols>
  <sheetData>
    <row r="1" spans="1:5">
      <c r="A1" s="285" t="s">
        <v>293</v>
      </c>
      <c r="B1" s="285"/>
      <c r="C1" s="285"/>
      <c r="D1" s="285"/>
      <c r="E1" s="285"/>
    </row>
    <row r="2" spans="1:5">
      <c r="A2" s="285" t="s">
        <v>459</v>
      </c>
      <c r="B2" s="285"/>
      <c r="C2" s="285"/>
      <c r="D2" s="285"/>
      <c r="E2" s="285"/>
    </row>
    <row r="3" spans="1:5" ht="19.899999999999999" customHeight="1">
      <c r="A3" s="301" t="s">
        <v>296</v>
      </c>
      <c r="B3" s="301"/>
      <c r="C3" s="301"/>
      <c r="D3" s="301"/>
      <c r="E3" s="301"/>
    </row>
    <row r="4" spans="1:5">
      <c r="A4" s="102"/>
      <c r="B4" s="102"/>
      <c r="C4" s="102"/>
      <c r="D4" s="102"/>
      <c r="E4" s="102"/>
    </row>
    <row r="5" spans="1:5" ht="18.600000000000001" customHeight="1">
      <c r="A5" s="299" t="s">
        <v>292</v>
      </c>
      <c r="B5" s="56" t="s">
        <v>294</v>
      </c>
      <c r="C5" s="56"/>
      <c r="D5" s="56"/>
      <c r="E5" s="57"/>
    </row>
    <row r="6" spans="1:5" ht="18.600000000000001" customHeight="1">
      <c r="A6" s="299"/>
      <c r="B6" s="300" t="s">
        <v>14</v>
      </c>
      <c r="C6" s="300" t="s">
        <v>268</v>
      </c>
      <c r="D6" s="300" t="s">
        <v>269</v>
      </c>
      <c r="E6" s="292"/>
    </row>
    <row r="7" spans="1:5" ht="18.600000000000001" customHeight="1">
      <c r="A7" s="299"/>
      <c r="B7" s="300"/>
      <c r="C7" s="300"/>
      <c r="D7" s="300" t="s">
        <v>14</v>
      </c>
      <c r="E7" s="170" t="s">
        <v>270</v>
      </c>
    </row>
    <row r="8" spans="1:5" ht="18.600000000000001" customHeight="1">
      <c r="A8" s="299"/>
      <c r="B8" s="300"/>
      <c r="C8" s="300"/>
      <c r="D8" s="300"/>
      <c r="E8" s="110" t="s">
        <v>271</v>
      </c>
    </row>
    <row r="9" spans="1:5" ht="13.5">
      <c r="A9" s="173"/>
      <c r="B9" s="103"/>
      <c r="C9" s="103"/>
      <c r="D9" s="103"/>
      <c r="E9" s="104"/>
    </row>
    <row r="10" spans="1:5" ht="13.5">
      <c r="A10" s="105" t="s">
        <v>252</v>
      </c>
      <c r="B10" s="250" t="s">
        <v>465</v>
      </c>
      <c r="C10" s="250" t="s">
        <v>466</v>
      </c>
      <c r="D10" s="250" t="s">
        <v>467</v>
      </c>
      <c r="E10" s="238">
        <f>828736*100/1305432</f>
        <v>63.483659049264915</v>
      </c>
    </row>
    <row r="11" spans="1:5" ht="13.5">
      <c r="A11" s="105" t="s">
        <v>253</v>
      </c>
      <c r="B11" s="250" t="s">
        <v>468</v>
      </c>
      <c r="C11" s="250" t="s">
        <v>469</v>
      </c>
      <c r="D11" s="250" t="s">
        <v>470</v>
      </c>
      <c r="E11" s="238">
        <f>1702203*100/3308710</f>
        <v>51.446122506958908</v>
      </c>
    </row>
    <row r="12" spans="1:5" ht="13.5">
      <c r="A12" s="105" t="s">
        <v>254</v>
      </c>
      <c r="B12" s="237">
        <v>3655722</v>
      </c>
      <c r="C12" s="237">
        <v>1810606</v>
      </c>
      <c r="D12" s="237">
        <v>1845116</v>
      </c>
      <c r="E12" s="238">
        <f>1845116*100/33655722</f>
        <v>5.4823248183473821</v>
      </c>
    </row>
    <row r="13" spans="1:5" ht="13.5">
      <c r="A13" s="105" t="s">
        <v>255</v>
      </c>
      <c r="B13" s="248">
        <v>1048890</v>
      </c>
      <c r="C13" s="237">
        <v>594623</v>
      </c>
      <c r="D13" s="237">
        <v>454267</v>
      </c>
      <c r="E13" s="238">
        <f>454267*100/1048890</f>
        <v>43.309307935055152</v>
      </c>
    </row>
    <row r="14" spans="1:5" ht="15" customHeight="1">
      <c r="A14" s="105" t="s">
        <v>256</v>
      </c>
      <c r="B14" s="237">
        <v>3717656</v>
      </c>
      <c r="C14" s="237">
        <v>2474414</v>
      </c>
      <c r="D14" s="237">
        <v>1243242</v>
      </c>
      <c r="E14" s="238">
        <f>1243242*100/3717656</f>
        <v>33.44155564689148</v>
      </c>
    </row>
    <row r="15" spans="1:5" ht="13.5">
      <c r="A15" s="105" t="s">
        <v>257</v>
      </c>
      <c r="B15" s="237">
        <v>1568088</v>
      </c>
      <c r="C15" s="237">
        <v>980168</v>
      </c>
      <c r="D15" s="237">
        <v>587920</v>
      </c>
      <c r="E15" s="238">
        <f>587920*100/1568088</f>
        <v>37.492793771778118</v>
      </c>
    </row>
    <row r="16" spans="1:5" ht="13.5">
      <c r="A16" s="105" t="s">
        <v>258</v>
      </c>
      <c r="B16" s="237">
        <v>3767473</v>
      </c>
      <c r="C16" s="237">
        <v>2337323</v>
      </c>
      <c r="D16" s="237">
        <v>1430150</v>
      </c>
      <c r="E16" s="238">
        <f>1430150*100/3767473</f>
        <v>37.960457845351513</v>
      </c>
    </row>
    <row r="17" spans="1:5" ht="13.5">
      <c r="A17" s="105" t="s">
        <v>259</v>
      </c>
      <c r="B17" s="237">
        <v>1057344</v>
      </c>
      <c r="C17" s="237">
        <v>769073</v>
      </c>
      <c r="D17" s="237">
        <v>288271</v>
      </c>
      <c r="E17" s="238">
        <f>288271*100/1057344</f>
        <v>27.263690908540646</v>
      </c>
    </row>
    <row r="18" spans="1:5" ht="14.1" customHeight="1">
      <c r="A18" s="105" t="s">
        <v>260</v>
      </c>
      <c r="B18" s="237">
        <v>3871943</v>
      </c>
      <c r="C18" s="237">
        <v>2652892</v>
      </c>
      <c r="D18" s="237">
        <v>1219051</v>
      </c>
      <c r="E18" s="238">
        <f>1219051*100/3871943</f>
        <v>31.484218646813758</v>
      </c>
    </row>
    <row r="19" spans="1:5" ht="13.5">
      <c r="A19" s="105" t="s">
        <v>261</v>
      </c>
      <c r="B19" s="237">
        <v>435839</v>
      </c>
      <c r="C19" s="237">
        <v>250279</v>
      </c>
      <c r="D19" s="237">
        <v>185560</v>
      </c>
      <c r="E19" s="238">
        <f>185560*100/435839</f>
        <v>42.575354660780704</v>
      </c>
    </row>
    <row r="20" spans="1:5" ht="13.5">
      <c r="A20" s="105" t="s">
        <v>262</v>
      </c>
      <c r="B20" s="237">
        <v>1886726</v>
      </c>
      <c r="C20" s="237">
        <v>1126165</v>
      </c>
      <c r="D20" s="237">
        <v>760562</v>
      </c>
      <c r="E20" s="238">
        <f>760562*100/1886726</f>
        <v>40.311205760666894</v>
      </c>
    </row>
    <row r="21" spans="1:5" ht="13.5">
      <c r="A21" s="105" t="s">
        <v>263</v>
      </c>
      <c r="B21" s="248">
        <v>1147017</v>
      </c>
      <c r="C21" s="237">
        <v>871604</v>
      </c>
      <c r="D21" s="237">
        <v>275413</v>
      </c>
      <c r="E21" s="238">
        <f>275413*100/1147017</f>
        <v>24.011239589299898</v>
      </c>
    </row>
    <row r="22" spans="1:5" ht="15.6" customHeight="1">
      <c r="A22" s="105" t="s">
        <v>264</v>
      </c>
      <c r="B22" s="237">
        <v>4258077</v>
      </c>
      <c r="C22" s="237">
        <v>2580331</v>
      </c>
      <c r="D22" s="237">
        <v>1677746</v>
      </c>
      <c r="E22" s="238">
        <f>1677746*100/4258077</f>
        <v>39.401495088040917</v>
      </c>
    </row>
    <row r="23" spans="1:5" ht="13.5">
      <c r="A23" s="105" t="s">
        <v>265</v>
      </c>
      <c r="B23" s="237">
        <v>1553689</v>
      </c>
      <c r="C23" s="237">
        <v>1106603</v>
      </c>
      <c r="D23" s="237">
        <v>447085</v>
      </c>
      <c r="E23" s="238">
        <f>447085*100/1553689</f>
        <v>28.775707364858732</v>
      </c>
    </row>
    <row r="24" spans="1:5" ht="11.45" customHeight="1">
      <c r="A24" s="105" t="s">
        <v>266</v>
      </c>
      <c r="B24" s="237">
        <v>3392638</v>
      </c>
      <c r="C24" s="237">
        <v>1952302</v>
      </c>
      <c r="D24" s="237">
        <v>1440336</v>
      </c>
      <c r="E24" s="238">
        <f>1440336*100/3392638</f>
        <v>42.454750551046118</v>
      </c>
    </row>
    <row r="25" spans="1:5" ht="13.15" customHeight="1">
      <c r="A25" s="105"/>
      <c r="B25" s="211"/>
      <c r="C25" s="211"/>
      <c r="D25" s="211"/>
      <c r="E25" s="238"/>
    </row>
    <row r="26" spans="1:5" s="38" customFormat="1" ht="13.5">
      <c r="A26" s="106" t="s">
        <v>267</v>
      </c>
      <c r="B26" s="239">
        <v>35975244</v>
      </c>
      <c r="C26" s="239">
        <v>21589586</v>
      </c>
      <c r="D26" s="239">
        <v>14385658</v>
      </c>
      <c r="E26" s="238">
        <f>14385658*100/35975244</f>
        <v>39.987659291483887</v>
      </c>
    </row>
    <row r="27" spans="1:5" s="38" customFormat="1" ht="13.5">
      <c r="A27" s="203"/>
      <c r="B27" s="207"/>
      <c r="C27" s="207"/>
      <c r="D27" s="207"/>
      <c r="E27" s="208"/>
    </row>
    <row r="28" spans="1:5" s="38" customFormat="1" ht="13.5">
      <c r="A28" s="203"/>
      <c r="B28" s="204"/>
      <c r="C28" s="204"/>
      <c r="D28" s="204"/>
      <c r="E28" s="205"/>
    </row>
    <row r="29" spans="1:5" ht="13.5">
      <c r="A29" s="81"/>
      <c r="B29" s="107"/>
      <c r="C29" s="81"/>
      <c r="D29" s="107"/>
      <c r="E29" s="107"/>
    </row>
    <row r="30" spans="1:5">
      <c r="A30" s="302" t="s">
        <v>289</v>
      </c>
      <c r="B30" s="302"/>
      <c r="C30" s="302"/>
      <c r="D30" s="302"/>
      <c r="E30" s="302"/>
    </row>
    <row r="31" spans="1:5" ht="13.5">
      <c r="A31" s="108"/>
      <c r="B31" s="108"/>
      <c r="C31" s="108"/>
      <c r="D31" s="108"/>
      <c r="E31" s="108"/>
    </row>
    <row r="32" spans="1:5" ht="18.600000000000001" customHeight="1">
      <c r="A32" s="299" t="s">
        <v>292</v>
      </c>
      <c r="B32" s="56" t="s">
        <v>13</v>
      </c>
      <c r="C32" s="56"/>
      <c r="D32" s="56"/>
      <c r="E32" s="57"/>
    </row>
    <row r="33" spans="1:6" ht="18.600000000000001" customHeight="1">
      <c r="A33" s="299"/>
      <c r="B33" s="300" t="s">
        <v>14</v>
      </c>
      <c r="C33" s="300" t="s">
        <v>268</v>
      </c>
      <c r="D33" s="56" t="s">
        <v>269</v>
      </c>
      <c r="E33" s="109"/>
    </row>
    <row r="34" spans="1:6" ht="18.600000000000001" customHeight="1">
      <c r="A34" s="299"/>
      <c r="B34" s="300"/>
      <c r="C34" s="300"/>
      <c r="D34" s="300" t="s">
        <v>14</v>
      </c>
      <c r="E34" s="57" t="s">
        <v>270</v>
      </c>
    </row>
    <row r="35" spans="1:6" ht="18.600000000000001" customHeight="1">
      <c r="A35" s="299"/>
      <c r="B35" s="300"/>
      <c r="C35" s="300"/>
      <c r="D35" s="300"/>
      <c r="E35" s="110" t="s">
        <v>271</v>
      </c>
    </row>
    <row r="36" spans="1:6" ht="13.5">
      <c r="A36" s="176"/>
      <c r="B36" s="2"/>
      <c r="C36" s="2"/>
      <c r="D36" s="2"/>
      <c r="E36" s="256"/>
      <c r="F36" s="257"/>
    </row>
    <row r="37" spans="1:6" ht="13.5">
      <c r="A37" s="130" t="s">
        <v>252</v>
      </c>
      <c r="B37" s="240">
        <f>1305432/918866*100-100</f>
        <v>42.069899201842276</v>
      </c>
      <c r="C37" s="240">
        <f>476696/459696*100-100</f>
        <v>3.6980961330966693</v>
      </c>
      <c r="D37" s="240">
        <f>828736/459171*100-100</f>
        <v>80.485265837781583</v>
      </c>
      <c r="E37" s="238" t="s">
        <v>471</v>
      </c>
    </row>
    <row r="38" spans="1:6" ht="13.5">
      <c r="A38" s="105" t="s">
        <v>253</v>
      </c>
      <c r="B38" s="240">
        <f>3308710/2973027*100-100</f>
        <v>11.290950267185607</v>
      </c>
      <c r="C38" s="240">
        <f>1606507/1245789*100-100</f>
        <v>28.954983548578468</v>
      </c>
      <c r="D38" s="240">
        <f>1702203/1727238*100-100</f>
        <v>-1.4494238778905952</v>
      </c>
      <c r="E38" s="238" t="s">
        <v>471</v>
      </c>
    </row>
    <row r="39" spans="1:6" ht="13.5">
      <c r="A39" s="105" t="s">
        <v>254</v>
      </c>
      <c r="B39" s="240">
        <f>3655722/3167767*100-100</f>
        <v>15.403752864399436</v>
      </c>
      <c r="C39" s="240">
        <f>1810606/1693510*100-100</f>
        <v>6.9143967263257906</v>
      </c>
      <c r="D39" s="240">
        <f>1845116/1474257*100-100</f>
        <v>25.155654678933189</v>
      </c>
      <c r="E39" s="238" t="s">
        <v>471</v>
      </c>
    </row>
    <row r="40" spans="1:6" ht="13.5">
      <c r="A40" s="105" t="s">
        <v>255</v>
      </c>
      <c r="B40" s="240">
        <f>1048890/1058212*100-100</f>
        <v>-0.88091989128832893</v>
      </c>
      <c r="C40" s="240">
        <f>594623/610104*100-100</f>
        <v>-2.5374362403786819</v>
      </c>
      <c r="D40" s="240">
        <f>454267/448109*100-100</f>
        <v>1.3742192189846634</v>
      </c>
      <c r="E40" s="238" t="s">
        <v>471</v>
      </c>
    </row>
    <row r="41" spans="1:6" ht="13.5">
      <c r="A41" s="105" t="s">
        <v>256</v>
      </c>
      <c r="B41" s="240">
        <f>3717656/4323939*100-100</f>
        <v>-14.021543782185645</v>
      </c>
      <c r="C41" s="240">
        <f>2474414/2922600*100-100</f>
        <v>-15.33518100321632</v>
      </c>
      <c r="D41" s="240">
        <f>1243242/1401339*100-100</f>
        <v>-11.281852571005302</v>
      </c>
      <c r="E41" s="238" t="s">
        <v>471</v>
      </c>
    </row>
    <row r="42" spans="1:6" ht="13.5">
      <c r="A42" s="105" t="s">
        <v>257</v>
      </c>
      <c r="B42" s="240">
        <f>1568088/1648919*100-100</f>
        <v>-4.9020600769352569</v>
      </c>
      <c r="C42" s="240">
        <f>980168/1079009*100-100</f>
        <v>-9.1603499136707853</v>
      </c>
      <c r="D42" s="240">
        <f>587920/569911*100-100</f>
        <v>3.1599670825795556</v>
      </c>
      <c r="E42" s="238" t="s">
        <v>471</v>
      </c>
    </row>
    <row r="43" spans="1:6" ht="13.5">
      <c r="A43" s="105" t="s">
        <v>258</v>
      </c>
      <c r="B43" s="240">
        <f>3767473/4194698*100-100</f>
        <v>-10.184881009312235</v>
      </c>
      <c r="C43" s="240">
        <f>2337323/3047120*100-100</f>
        <v>-23.294028459660268</v>
      </c>
      <c r="D43" s="240">
        <f>1430150/1147578*100-100</f>
        <v>24.623337150067371</v>
      </c>
      <c r="E43" s="238" t="s">
        <v>471</v>
      </c>
    </row>
    <row r="44" spans="1:6" ht="13.5">
      <c r="A44" s="105" t="s">
        <v>259</v>
      </c>
      <c r="B44" s="240">
        <f>1057344/1058636*100-100</f>
        <v>-0.12204383754189507</v>
      </c>
      <c r="C44" s="240">
        <f>769073/779860*100-100</f>
        <v>-1.3831969840740612</v>
      </c>
      <c r="D44" s="240">
        <f>288271/278776*100-100</f>
        <v>3.4059603409188668</v>
      </c>
      <c r="E44" s="238" t="s">
        <v>471</v>
      </c>
    </row>
    <row r="45" spans="1:6" ht="13.5">
      <c r="A45" s="105" t="s">
        <v>260</v>
      </c>
      <c r="B45" s="240">
        <f>3871943/3860754*100-100</f>
        <v>0.2898138550138043</v>
      </c>
      <c r="C45" s="240">
        <f>2652892/2649241*100-100</f>
        <v>0.13781305664528531</v>
      </c>
      <c r="D45" s="240">
        <f>1219051/1211514*100-100</f>
        <v>0.62211414808248833</v>
      </c>
      <c r="E45" s="238" t="s">
        <v>471</v>
      </c>
    </row>
    <row r="46" spans="1:6" ht="13.5">
      <c r="A46" s="105" t="s">
        <v>261</v>
      </c>
      <c r="B46" s="240">
        <f>435839/387785*100-100</f>
        <v>12.391918202096534</v>
      </c>
      <c r="C46" s="240">
        <f>250279/241322*100-100</f>
        <v>3.7116383918581732</v>
      </c>
      <c r="D46" s="240">
        <f>185560/146463*100-100</f>
        <v>26.694113871762838</v>
      </c>
      <c r="E46" s="238" t="s">
        <v>471</v>
      </c>
    </row>
    <row r="47" spans="1:6" ht="13.5">
      <c r="A47" s="105" t="s">
        <v>262</v>
      </c>
      <c r="B47" s="240">
        <f>1886726/2103901*100-100</f>
        <v>-10.322491410004559</v>
      </c>
      <c r="C47" s="240">
        <f>1126165/1262302*100-100</f>
        <v>-10.784820114362489</v>
      </c>
      <c r="D47" s="240">
        <f>760562/841598*100-100</f>
        <v>-9.6288251635578916</v>
      </c>
      <c r="E47" s="238" t="s">
        <v>471</v>
      </c>
    </row>
    <row r="48" spans="1:6" ht="13.5">
      <c r="A48" s="105" t="s">
        <v>263</v>
      </c>
      <c r="B48" s="240">
        <f>1147017/1239837*100-100</f>
        <v>-7.4864679792585633</v>
      </c>
      <c r="C48" s="240">
        <f>871604/939404*100-100</f>
        <v>-7.2173420594334345</v>
      </c>
      <c r="D48" s="240">
        <f>275413/300433*100-100</f>
        <v>-8.3279799489403672</v>
      </c>
      <c r="E48" s="238" t="s">
        <v>471</v>
      </c>
    </row>
    <row r="49" spans="1:5" ht="13.5">
      <c r="A49" s="105" t="s">
        <v>264</v>
      </c>
      <c r="B49" s="240">
        <f>4258077/4219309*100-100</f>
        <v>0.91882343767663599</v>
      </c>
      <c r="C49" s="240">
        <f>2580331/2611931*100-100</f>
        <v>-1.2098328784336161</v>
      </c>
      <c r="D49" s="240">
        <f>1677746/1607379*100-100</f>
        <v>4.3777478740234983</v>
      </c>
      <c r="E49" s="238" t="s">
        <v>471</v>
      </c>
    </row>
    <row r="50" spans="1:5" ht="13.5">
      <c r="A50" s="105" t="s">
        <v>265</v>
      </c>
      <c r="B50" s="240">
        <f>1553689/1521291*100-100</f>
        <v>2.1296385767088708</v>
      </c>
      <c r="C50" s="240">
        <f>1106603/1054121*100-100</f>
        <v>4.9787453243033752</v>
      </c>
      <c r="D50" s="240">
        <f>447085/467171*100-100</f>
        <v>-4.2994963300376128</v>
      </c>
      <c r="E50" s="238" t="s">
        <v>471</v>
      </c>
    </row>
    <row r="51" spans="1:5" ht="13.5">
      <c r="A51" s="105" t="s">
        <v>266</v>
      </c>
      <c r="B51" s="240">
        <f>3392638/3341929*100-100</f>
        <v>1.5173571910115413</v>
      </c>
      <c r="C51" s="240">
        <f>1952302/1936109*100-100</f>
        <v>0.83636820034409709</v>
      </c>
      <c r="D51" s="240">
        <f>1440336/1405820*100-100</f>
        <v>2.45522186339646</v>
      </c>
      <c r="E51" s="238" t="s">
        <v>471</v>
      </c>
    </row>
    <row r="52" spans="1:5" ht="13.5">
      <c r="A52" s="105"/>
      <c r="B52" s="211"/>
      <c r="C52" s="211"/>
      <c r="D52" s="211"/>
      <c r="E52" s="238"/>
    </row>
    <row r="53" spans="1:5" ht="13.5">
      <c r="A53" s="179" t="s">
        <v>267</v>
      </c>
      <c r="B53" s="241">
        <f>35975244/36018872*100-100</f>
        <v>-0.1211253922665918</v>
      </c>
      <c r="C53" s="241">
        <f>21589586/22532117*100-100</f>
        <v>-4.1830556800321972</v>
      </c>
      <c r="D53" s="241">
        <f>14385658/13486756*100-100</f>
        <v>6.665072015835392</v>
      </c>
      <c r="E53" s="238" t="s">
        <v>471</v>
      </c>
    </row>
    <row r="54" spans="1:5" ht="13.5">
      <c r="A54" s="206"/>
      <c r="B54" s="209"/>
      <c r="C54" s="209"/>
      <c r="D54" s="209"/>
      <c r="E54" s="210"/>
    </row>
  </sheetData>
  <mergeCells count="13">
    <mergeCell ref="A32:A35"/>
    <mergeCell ref="B33:B35"/>
    <mergeCell ref="C33:C35"/>
    <mergeCell ref="D34:D35"/>
    <mergeCell ref="A1:E1"/>
    <mergeCell ref="A2:E2"/>
    <mergeCell ref="A3:E3"/>
    <mergeCell ref="D6:E6"/>
    <mergeCell ref="A30:E30"/>
    <mergeCell ref="A5:A8"/>
    <mergeCell ref="B6:B8"/>
    <mergeCell ref="C6:C8"/>
    <mergeCell ref="D7:D8"/>
  </mergeCells>
  <conditionalFormatting sqref="A9:E26">
    <cfRule type="expression" dxfId="8" priority="27">
      <formula>MOD(ROW(),2)=0</formula>
    </cfRule>
  </conditionalFormatting>
  <conditionalFormatting sqref="A36:E36 A37:D53">
    <cfRule type="expression" dxfId="7" priority="22">
      <formula>MOD(ROW(),2)=1</formula>
    </cfRule>
  </conditionalFormatting>
  <conditionalFormatting sqref="E37 E39 E41 E43 E45 E47 E49 E51 E53">
    <cfRule type="expression" dxfId="6" priority="2">
      <formula>MOD(ROW(),2)=1</formula>
    </cfRule>
  </conditionalFormatting>
  <conditionalFormatting sqref="E38 E40 E42 E44 E46 E48 E50 E52">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Normal="100" workbookViewId="0">
      <selection sqref="A1:F1"/>
    </sheetView>
  </sheetViews>
  <sheetFormatPr baseColWidth="10" defaultColWidth="11.28515625" defaultRowHeight="12.75"/>
  <cols>
    <col min="1" max="1" width="14.7109375" style="3" customWidth="1"/>
    <col min="2" max="6" width="15.42578125" style="3" customWidth="1"/>
    <col min="7" max="7" width="11.28515625" style="3"/>
    <col min="8" max="26" width="1.7109375" style="3" customWidth="1"/>
    <col min="27" max="16384" width="11.28515625" style="3"/>
  </cols>
  <sheetData>
    <row r="1" spans="1:14">
      <c r="A1" s="304" t="s">
        <v>295</v>
      </c>
      <c r="B1" s="304"/>
      <c r="C1" s="304"/>
      <c r="D1" s="304"/>
      <c r="E1" s="304"/>
      <c r="F1" s="304"/>
    </row>
    <row r="2" spans="1:14" ht="13.15" customHeight="1">
      <c r="A2" s="305" t="s">
        <v>460</v>
      </c>
      <c r="B2" s="305"/>
      <c r="C2" s="305"/>
      <c r="D2" s="305"/>
      <c r="E2" s="305"/>
      <c r="F2" s="305"/>
    </row>
    <row r="3" spans="1:14">
      <c r="A3" s="305" t="s">
        <v>296</v>
      </c>
      <c r="B3" s="305"/>
      <c r="C3" s="305"/>
      <c r="D3" s="305"/>
      <c r="E3" s="305"/>
      <c r="F3" s="305"/>
    </row>
    <row r="4" spans="1:14">
      <c r="A4" s="306"/>
      <c r="B4" s="306"/>
      <c r="C4" s="306"/>
      <c r="D4" s="306"/>
      <c r="E4" s="306"/>
    </row>
    <row r="5" spans="1:14" ht="18.600000000000001" customHeight="1">
      <c r="A5" s="307" t="s">
        <v>7</v>
      </c>
      <c r="B5" s="308" t="s">
        <v>12</v>
      </c>
      <c r="C5" s="308" t="s">
        <v>100</v>
      </c>
      <c r="D5" s="308" t="s">
        <v>1</v>
      </c>
      <c r="E5" s="309" t="s">
        <v>13</v>
      </c>
      <c r="F5" s="310"/>
      <c r="G5" s="4"/>
    </row>
    <row r="6" spans="1:14" ht="28.35" customHeight="1">
      <c r="A6" s="307"/>
      <c r="B6" s="308"/>
      <c r="C6" s="308"/>
      <c r="D6" s="308"/>
      <c r="E6" s="95" t="s">
        <v>104</v>
      </c>
      <c r="F6" s="96" t="s">
        <v>297</v>
      </c>
      <c r="G6" s="4"/>
    </row>
    <row r="7" spans="1:14" ht="18.600000000000001" customHeight="1">
      <c r="A7" s="307"/>
      <c r="B7" s="311" t="s">
        <v>298</v>
      </c>
      <c r="C7" s="311"/>
      <c r="D7" s="309" t="s">
        <v>2</v>
      </c>
      <c r="E7" s="309"/>
      <c r="F7" s="97" t="s">
        <v>2</v>
      </c>
      <c r="G7" s="4"/>
    </row>
    <row r="8" spans="1:14" ht="13.5">
      <c r="A8" s="175"/>
      <c r="B8" s="75"/>
      <c r="C8" s="75"/>
      <c r="D8" s="46"/>
      <c r="E8" s="46"/>
      <c r="F8" s="46"/>
      <c r="G8" s="2"/>
      <c r="H8" s="2"/>
      <c r="I8" s="2"/>
      <c r="J8" s="2"/>
      <c r="K8" s="2"/>
      <c r="L8" s="31"/>
      <c r="M8" s="31"/>
      <c r="N8" s="31"/>
    </row>
    <row r="9" spans="1:14" ht="13.5">
      <c r="A9" s="98" t="s">
        <v>80</v>
      </c>
      <c r="B9" s="235">
        <v>1659</v>
      </c>
      <c r="C9" s="235">
        <v>183495</v>
      </c>
      <c r="D9" s="235">
        <v>2999640</v>
      </c>
      <c r="E9" s="235">
        <v>15918784</v>
      </c>
      <c r="F9" s="235">
        <v>2581461</v>
      </c>
    </row>
    <row r="10" spans="1:14" ht="13.5">
      <c r="A10" s="99" t="s">
        <v>81</v>
      </c>
      <c r="B10" s="235">
        <v>1666</v>
      </c>
      <c r="C10" s="235">
        <v>180019</v>
      </c>
      <c r="D10" s="235">
        <v>3078052</v>
      </c>
      <c r="E10" s="235">
        <v>17123570</v>
      </c>
      <c r="F10" s="235">
        <v>3228455</v>
      </c>
    </row>
    <row r="11" spans="1:14" ht="13.5">
      <c r="A11" s="98" t="s">
        <v>82</v>
      </c>
      <c r="B11" s="235">
        <v>1654</v>
      </c>
      <c r="C11" s="235">
        <v>174251</v>
      </c>
      <c r="D11" s="235">
        <v>3118273</v>
      </c>
      <c r="E11" s="235">
        <v>17191514</v>
      </c>
      <c r="F11" s="235">
        <v>3316307</v>
      </c>
    </row>
    <row r="12" spans="1:14" ht="13.5">
      <c r="A12" s="99" t="s">
        <v>83</v>
      </c>
      <c r="B12" s="235">
        <v>1610</v>
      </c>
      <c r="C12" s="235">
        <v>165909</v>
      </c>
      <c r="D12" s="235">
        <v>3094636</v>
      </c>
      <c r="E12" s="235">
        <v>17478449</v>
      </c>
      <c r="F12" s="235">
        <v>3247806</v>
      </c>
    </row>
    <row r="13" spans="1:14" ht="13.5">
      <c r="A13" s="98" t="s">
        <v>84</v>
      </c>
      <c r="B13" s="235">
        <v>1594</v>
      </c>
      <c r="C13" s="235">
        <v>164633</v>
      </c>
      <c r="D13" s="235">
        <v>3148661</v>
      </c>
      <c r="E13" s="235">
        <v>18527237</v>
      </c>
      <c r="F13" s="235">
        <v>4136367</v>
      </c>
    </row>
    <row r="14" spans="1:14" ht="18.600000000000001" customHeight="1">
      <c r="A14" s="99" t="s">
        <v>85</v>
      </c>
      <c r="B14" s="235">
        <v>1557</v>
      </c>
      <c r="C14" s="235">
        <v>165835</v>
      </c>
      <c r="D14" s="235">
        <v>3285858</v>
      </c>
      <c r="E14" s="235">
        <v>18687916</v>
      </c>
      <c r="F14" s="235">
        <v>4025622</v>
      </c>
    </row>
    <row r="15" spans="1:14" ht="13.5">
      <c r="A15" s="69" t="s">
        <v>272</v>
      </c>
      <c r="B15" s="235">
        <v>1539</v>
      </c>
      <c r="C15" s="235">
        <v>166833</v>
      </c>
      <c r="D15" s="235">
        <v>3422296</v>
      </c>
      <c r="E15" s="235">
        <v>18739011</v>
      </c>
      <c r="F15" s="235">
        <v>4022145</v>
      </c>
    </row>
    <row r="16" spans="1:14" ht="13.5">
      <c r="A16" s="99" t="s">
        <v>86</v>
      </c>
      <c r="B16" s="235">
        <v>1528</v>
      </c>
      <c r="C16" s="235">
        <v>164160</v>
      </c>
      <c r="D16" s="235">
        <v>3498224</v>
      </c>
      <c r="E16" s="235">
        <v>18378141</v>
      </c>
      <c r="F16" s="235">
        <v>4140167</v>
      </c>
    </row>
    <row r="17" spans="1:6" ht="13.5">
      <c r="A17" s="98" t="s">
        <v>87</v>
      </c>
      <c r="B17" s="235">
        <v>1542</v>
      </c>
      <c r="C17" s="235">
        <v>165361</v>
      </c>
      <c r="D17" s="235">
        <v>3661588</v>
      </c>
      <c r="E17" s="235">
        <v>19600598</v>
      </c>
      <c r="F17" s="235">
        <v>4709787</v>
      </c>
    </row>
    <row r="18" spans="1:6" ht="13.5">
      <c r="A18" s="99" t="s">
        <v>88</v>
      </c>
      <c r="B18" s="235">
        <v>1580</v>
      </c>
      <c r="C18" s="235">
        <v>169350</v>
      </c>
      <c r="D18" s="235">
        <v>3870470</v>
      </c>
      <c r="E18" s="235">
        <v>20947097</v>
      </c>
      <c r="F18" s="235">
        <v>5027476</v>
      </c>
    </row>
    <row r="19" spans="1:6" ht="18.600000000000001" customHeight="1">
      <c r="A19" s="98" t="s">
        <v>89</v>
      </c>
      <c r="B19" s="235">
        <v>1614</v>
      </c>
      <c r="C19" s="235">
        <v>177163</v>
      </c>
      <c r="D19" s="235">
        <v>4254356</v>
      </c>
      <c r="E19" s="235">
        <v>23298998</v>
      </c>
      <c r="F19" s="235">
        <v>5205987</v>
      </c>
    </row>
    <row r="20" spans="1:6" ht="13.5">
      <c r="A20" s="99" t="s">
        <v>90</v>
      </c>
      <c r="B20" s="235">
        <v>1637</v>
      </c>
      <c r="C20" s="235">
        <v>182032</v>
      </c>
      <c r="D20" s="235">
        <v>4635468</v>
      </c>
      <c r="E20" s="235">
        <v>25464281</v>
      </c>
      <c r="F20" s="235">
        <v>5162767</v>
      </c>
    </row>
    <row r="21" spans="1:6" ht="13.5">
      <c r="A21" s="98" t="s">
        <v>91</v>
      </c>
      <c r="B21" s="235">
        <v>1692</v>
      </c>
      <c r="C21" s="235">
        <v>180328</v>
      </c>
      <c r="D21" s="235">
        <v>4886204</v>
      </c>
      <c r="E21" s="235">
        <v>25169698</v>
      </c>
      <c r="F21" s="235">
        <v>5332557</v>
      </c>
    </row>
    <row r="22" spans="1:6" ht="13.5">
      <c r="A22" s="99" t="s">
        <v>92</v>
      </c>
      <c r="B22" s="235">
        <v>1689</v>
      </c>
      <c r="C22" s="235">
        <v>171088</v>
      </c>
      <c r="D22" s="235">
        <v>4805848</v>
      </c>
      <c r="E22" s="235">
        <v>24191701</v>
      </c>
      <c r="F22" s="235">
        <v>5067259</v>
      </c>
    </row>
    <row r="23" spans="1:6" ht="13.5">
      <c r="A23" s="98" t="s">
        <v>93</v>
      </c>
      <c r="B23" s="235">
        <v>1644</v>
      </c>
      <c r="C23" s="235">
        <v>163027</v>
      </c>
      <c r="D23" s="235">
        <v>4767040</v>
      </c>
      <c r="E23" s="235">
        <v>24893646</v>
      </c>
      <c r="F23" s="235">
        <v>5753707</v>
      </c>
    </row>
    <row r="24" spans="1:6" ht="18.600000000000001" customHeight="1">
      <c r="A24" s="100" t="s">
        <v>299</v>
      </c>
      <c r="B24" s="235">
        <v>1463</v>
      </c>
      <c r="C24" s="235">
        <v>153384</v>
      </c>
      <c r="D24" s="235">
        <v>4692127</v>
      </c>
      <c r="E24" s="235">
        <v>24767994</v>
      </c>
      <c r="F24" s="235">
        <v>6532952</v>
      </c>
    </row>
    <row r="25" spans="1:6" ht="13.5">
      <c r="A25" s="98" t="s">
        <v>94</v>
      </c>
      <c r="B25" s="242">
        <v>1455</v>
      </c>
      <c r="C25" s="242">
        <v>146742</v>
      </c>
      <c r="D25" s="235">
        <v>4657147</v>
      </c>
      <c r="E25" s="235">
        <v>24088396</v>
      </c>
      <c r="F25" s="235">
        <v>6319142</v>
      </c>
    </row>
    <row r="26" spans="1:6" ht="13.5">
      <c r="A26" s="101">
        <v>1997</v>
      </c>
      <c r="B26" s="235">
        <v>1529</v>
      </c>
      <c r="C26" s="235">
        <v>145717</v>
      </c>
      <c r="D26" s="235">
        <v>4652301</v>
      </c>
      <c r="E26" s="235">
        <v>25588482</v>
      </c>
      <c r="F26" s="235">
        <v>7603819</v>
      </c>
    </row>
    <row r="27" spans="1:6" ht="13.5">
      <c r="A27" s="98" t="s">
        <v>273</v>
      </c>
      <c r="B27" s="242">
        <v>1483</v>
      </c>
      <c r="C27" s="242">
        <v>142598</v>
      </c>
      <c r="D27" s="235">
        <v>4576651</v>
      </c>
      <c r="E27" s="235">
        <v>25911875</v>
      </c>
      <c r="F27" s="235">
        <v>7711587</v>
      </c>
    </row>
    <row r="28" spans="1:6" ht="13.5">
      <c r="A28" s="101" t="s">
        <v>95</v>
      </c>
      <c r="B28" s="235">
        <v>1483</v>
      </c>
      <c r="C28" s="235">
        <v>140319</v>
      </c>
      <c r="D28" s="235">
        <v>4600826</v>
      </c>
      <c r="E28" s="235">
        <v>27231996</v>
      </c>
      <c r="F28" s="235">
        <v>8508603</v>
      </c>
    </row>
    <row r="29" spans="1:6" ht="18.600000000000001" customHeight="1">
      <c r="A29" s="98" t="s">
        <v>96</v>
      </c>
      <c r="B29" s="242">
        <v>1494</v>
      </c>
      <c r="C29" s="242">
        <v>140983</v>
      </c>
      <c r="D29" s="235">
        <v>4738719</v>
      </c>
      <c r="E29" s="235">
        <v>28121089</v>
      </c>
      <c r="F29" s="235">
        <v>8925754</v>
      </c>
    </row>
    <row r="30" spans="1:6" ht="13.5">
      <c r="A30" s="101" t="s">
        <v>97</v>
      </c>
      <c r="B30" s="235">
        <v>1479</v>
      </c>
      <c r="C30" s="235">
        <v>139341</v>
      </c>
      <c r="D30" s="235">
        <v>4784558</v>
      </c>
      <c r="E30" s="235">
        <v>27932719</v>
      </c>
      <c r="F30" s="235">
        <v>8885463</v>
      </c>
    </row>
    <row r="31" spans="1:6" ht="13.5">
      <c r="A31" s="98">
        <v>2002</v>
      </c>
      <c r="B31" s="242">
        <v>1460</v>
      </c>
      <c r="C31" s="242">
        <v>135596</v>
      </c>
      <c r="D31" s="235">
        <v>4740315</v>
      </c>
      <c r="E31" s="235">
        <v>27976228</v>
      </c>
      <c r="F31" s="235">
        <v>9428713</v>
      </c>
    </row>
    <row r="32" spans="1:6" ht="13.5">
      <c r="A32" s="101" t="s">
        <v>98</v>
      </c>
      <c r="B32" s="235">
        <v>1414</v>
      </c>
      <c r="C32" s="235">
        <v>131743</v>
      </c>
      <c r="D32" s="235">
        <v>4749279</v>
      </c>
      <c r="E32" s="235">
        <v>27652647</v>
      </c>
      <c r="F32" s="235">
        <v>9733339</v>
      </c>
    </row>
    <row r="33" spans="1:7" ht="13.5">
      <c r="A33" s="98" t="s">
        <v>99</v>
      </c>
      <c r="B33" s="242">
        <v>1380</v>
      </c>
      <c r="C33" s="242">
        <v>127904</v>
      </c>
      <c r="D33" s="235">
        <v>4672920</v>
      </c>
      <c r="E33" s="235">
        <v>30278000</v>
      </c>
      <c r="F33" s="235">
        <v>11680546</v>
      </c>
    </row>
    <row r="34" spans="1:7" ht="18.600000000000001" customHeight="1">
      <c r="A34" s="101">
        <v>2005</v>
      </c>
      <c r="B34" s="235">
        <v>1321</v>
      </c>
      <c r="C34" s="235">
        <v>125099</v>
      </c>
      <c r="D34" s="235">
        <v>4575897</v>
      </c>
      <c r="E34" s="235">
        <v>32080721</v>
      </c>
      <c r="F34" s="235">
        <v>13208153</v>
      </c>
    </row>
    <row r="35" spans="1:7" ht="13.5">
      <c r="A35" s="100">
        <v>2006</v>
      </c>
      <c r="B35" s="242">
        <v>1308</v>
      </c>
      <c r="C35" s="242">
        <v>125327</v>
      </c>
      <c r="D35" s="235">
        <v>4657095</v>
      </c>
      <c r="E35" s="235">
        <v>34189922</v>
      </c>
      <c r="F35" s="235">
        <v>13901521</v>
      </c>
    </row>
    <row r="36" spans="1:7" ht="13.5">
      <c r="A36" s="101">
        <v>2007</v>
      </c>
      <c r="B36" s="235">
        <v>1282</v>
      </c>
      <c r="C36" s="235">
        <v>128030</v>
      </c>
      <c r="D36" s="235">
        <v>4791742</v>
      </c>
      <c r="E36" s="235">
        <v>33278221</v>
      </c>
      <c r="F36" s="235">
        <v>13537187</v>
      </c>
    </row>
    <row r="37" spans="1:7" ht="13.5">
      <c r="A37" s="100">
        <v>2008</v>
      </c>
      <c r="B37" s="242">
        <v>1275</v>
      </c>
      <c r="C37" s="242">
        <v>127238</v>
      </c>
      <c r="D37" s="235">
        <v>4843461</v>
      </c>
      <c r="E37" s="235">
        <v>33993013</v>
      </c>
      <c r="F37" s="235">
        <v>13649884</v>
      </c>
    </row>
    <row r="38" spans="1:7" ht="15.75">
      <c r="A38" s="101" t="s">
        <v>300</v>
      </c>
      <c r="B38" s="235">
        <v>1261</v>
      </c>
      <c r="C38" s="235">
        <v>121954</v>
      </c>
      <c r="D38" s="235">
        <v>4697634</v>
      </c>
      <c r="E38" s="235">
        <v>29783049</v>
      </c>
      <c r="F38" s="235">
        <v>12432618</v>
      </c>
      <c r="G38" s="39"/>
    </row>
    <row r="39" spans="1:7" ht="18.600000000000001" customHeight="1">
      <c r="A39" s="100">
        <v>2010</v>
      </c>
      <c r="B39" s="235">
        <v>1243</v>
      </c>
      <c r="C39" s="235">
        <v>118762</v>
      </c>
      <c r="D39" s="235">
        <v>4599807.2089999998</v>
      </c>
      <c r="E39" s="235">
        <v>31557474.730999999</v>
      </c>
      <c r="F39" s="235">
        <v>12628416.402000001</v>
      </c>
      <c r="G39" s="39"/>
    </row>
    <row r="40" spans="1:7" ht="13.5">
      <c r="A40" s="101">
        <v>2011</v>
      </c>
      <c r="B40" s="235">
        <v>1249</v>
      </c>
      <c r="C40" s="235">
        <v>121003</v>
      </c>
      <c r="D40" s="235">
        <v>4821045</v>
      </c>
      <c r="E40" s="235">
        <v>34741088</v>
      </c>
      <c r="F40" s="235">
        <v>13577795</v>
      </c>
      <c r="G40" s="39"/>
    </row>
    <row r="41" spans="1:7" ht="13.5">
      <c r="A41" s="130">
        <v>2012</v>
      </c>
      <c r="B41" s="234">
        <v>1230</v>
      </c>
      <c r="C41" s="235">
        <v>121500</v>
      </c>
      <c r="D41" s="235">
        <v>4953574</v>
      </c>
      <c r="E41" s="235">
        <v>36149532</v>
      </c>
      <c r="F41" s="235">
        <v>14199097</v>
      </c>
      <c r="G41" s="39"/>
    </row>
    <row r="42" spans="1:7" ht="13.5">
      <c r="A42" s="130">
        <v>2013</v>
      </c>
      <c r="B42" s="234">
        <v>1227</v>
      </c>
      <c r="C42" s="235">
        <v>122658</v>
      </c>
      <c r="D42" s="235">
        <v>5140867</v>
      </c>
      <c r="E42" s="235">
        <v>36865320</v>
      </c>
      <c r="F42" s="235">
        <v>14765099</v>
      </c>
      <c r="G42" s="39"/>
    </row>
    <row r="43" spans="1:7" ht="13.5">
      <c r="A43" s="130">
        <v>2014</v>
      </c>
      <c r="B43" s="234">
        <v>1213</v>
      </c>
      <c r="C43" s="235">
        <v>122086</v>
      </c>
      <c r="D43" s="235">
        <v>5278259.8890000004</v>
      </c>
      <c r="E43" s="235">
        <v>38623232.674000002</v>
      </c>
      <c r="F43" s="235">
        <v>15677925.464</v>
      </c>
      <c r="G43" s="39"/>
    </row>
    <row r="44" spans="1:7" ht="19.5" customHeight="1">
      <c r="A44" s="130">
        <v>2015</v>
      </c>
      <c r="B44" s="234">
        <v>1211</v>
      </c>
      <c r="C44" s="235">
        <v>123861</v>
      </c>
      <c r="D44" s="235">
        <v>5422903</v>
      </c>
      <c r="E44" s="235">
        <v>36018872</v>
      </c>
      <c r="F44" s="235">
        <v>13486756</v>
      </c>
      <c r="G44" s="39"/>
    </row>
    <row r="45" spans="1:7" ht="13.5">
      <c r="A45" s="130">
        <v>2016</v>
      </c>
      <c r="B45" s="235">
        <v>1209</v>
      </c>
      <c r="C45" s="235">
        <v>124018</v>
      </c>
      <c r="D45" s="235">
        <v>5679681</v>
      </c>
      <c r="E45" s="235">
        <v>35975244</v>
      </c>
      <c r="F45" s="235">
        <v>14385658</v>
      </c>
      <c r="G45" s="39"/>
    </row>
    <row r="46" spans="1:7" ht="13.5">
      <c r="A46" s="180"/>
      <c r="B46" s="181"/>
      <c r="C46" s="181"/>
      <c r="D46" s="181"/>
      <c r="E46" s="181"/>
      <c r="F46" s="181"/>
      <c r="G46" s="39"/>
    </row>
    <row r="47" spans="1:7">
      <c r="A47" s="40"/>
      <c r="B47" s="41"/>
      <c r="C47" s="41"/>
      <c r="D47" s="41"/>
      <c r="E47" s="41"/>
      <c r="F47" s="41"/>
      <c r="G47" s="39"/>
    </row>
    <row r="48" spans="1:7" ht="13.5">
      <c r="A48" s="303" t="s">
        <v>301</v>
      </c>
      <c r="B48" s="303"/>
      <c r="C48" s="303"/>
      <c r="D48" s="303"/>
      <c r="E48" s="303"/>
      <c r="F48" s="303"/>
    </row>
    <row r="49" spans="1:6" ht="13.5">
      <c r="A49" s="303" t="s">
        <v>302</v>
      </c>
      <c r="B49" s="303"/>
      <c r="C49" s="303"/>
      <c r="D49" s="303"/>
      <c r="E49" s="303"/>
      <c r="F49" s="303"/>
    </row>
    <row r="50" spans="1:6" ht="13.5">
      <c r="A50" s="303" t="s">
        <v>303</v>
      </c>
      <c r="B50" s="303"/>
      <c r="C50" s="303"/>
      <c r="D50" s="303"/>
      <c r="E50" s="303"/>
      <c r="F50" s="303"/>
    </row>
    <row r="51" spans="1:6">
      <c r="A51" s="94"/>
      <c r="B51" s="94"/>
      <c r="C51" s="94"/>
      <c r="D51" s="94"/>
      <c r="E51" s="94"/>
      <c r="F51" s="94"/>
    </row>
  </sheetData>
  <mergeCells count="14">
    <mergeCell ref="A50:F50"/>
    <mergeCell ref="A48:F48"/>
    <mergeCell ref="A49:F49"/>
    <mergeCell ref="A1:F1"/>
    <mergeCell ref="A3:F3"/>
    <mergeCell ref="A4:E4"/>
    <mergeCell ref="A5:A7"/>
    <mergeCell ref="B5:B6"/>
    <mergeCell ref="C5:C6"/>
    <mergeCell ref="D5:D6"/>
    <mergeCell ref="E5:F5"/>
    <mergeCell ref="B7:C7"/>
    <mergeCell ref="D7:E7"/>
    <mergeCell ref="A2:F2"/>
  </mergeCells>
  <conditionalFormatting sqref="A8:F41 A44:F46">
    <cfRule type="expression" dxfId="4" priority="5">
      <formula>MOD(ROW(),2)=1</formula>
    </cfRule>
  </conditionalFormatting>
  <conditionalFormatting sqref="A42:F43">
    <cfRule type="expression" dxfId="3"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16 SH</oddFooter>
  </headerFooter>
  <ignoredErrors>
    <ignoredError sqref="A16:A23 A9:A15 A25:A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6</vt:i4>
      </vt:variant>
    </vt:vector>
  </HeadingPairs>
  <TitlesOfParts>
    <vt:vector size="24" baseType="lpstr">
      <vt:lpstr>VO_1</vt:lpstr>
      <vt:lpstr>VO_2</vt:lpstr>
      <vt:lpstr>VO_3</vt:lpstr>
      <vt:lpstr>VO_4</vt:lpstr>
      <vt:lpstr>T1_1</vt:lpstr>
      <vt:lpstr>T2_1</vt:lpstr>
      <vt:lpstr>T3_1</vt:lpstr>
      <vt:lpstr>T4_1</vt:lpstr>
      <vt:lpstr>T5_1</vt:lpstr>
      <vt:lpstr>TB5_1</vt:lpstr>
      <vt:lpstr>TG5_1</vt:lpstr>
      <vt:lpstr>DatenBesch_1</vt:lpstr>
      <vt:lpstr>TGBESCHAEND_1</vt:lpstr>
      <vt:lpstr>DatenUMs_1</vt:lpstr>
      <vt:lpstr>TGUMSATZAEND_1</vt:lpstr>
      <vt:lpstr>Tabelle1</vt:lpstr>
      <vt:lpstr>Tabelle2</vt:lpstr>
      <vt:lpstr>Tabelle3</vt:lpstr>
      <vt:lpstr>TGBESCHAEND_1!Druckbereich</vt:lpstr>
      <vt:lpstr>TGUMSATZAEND_1!Druckbereich</vt:lpstr>
      <vt:lpstr>VO_1!Druckbereich</vt:lpstr>
      <vt:lpstr>VO_4!Druckbereich</vt:lpstr>
      <vt:lpstr>T1_1!Drucktitel</vt:lpstr>
      <vt:lpstr>T2_1!Drucktitel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2017-06-23T06:14:00Z</cp:lastPrinted>
  <dcterms:created xsi:type="dcterms:W3CDTF">2006-07-12T13:26:28Z</dcterms:created>
  <dcterms:modified xsi:type="dcterms:W3CDTF">2017-06-23T06:14:07Z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