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Übersicht" sheetId="1" r:id="rId1"/>
    <sheet name="ZuF-Kreise" sheetId="2" r:id="rId2"/>
    <sheet name="ZuF Kreise, Monate" sheetId="3" r:id="rId3"/>
    <sheet name="ZuF Landesgrenze" sheetId="4" r:id="rId4"/>
  </sheets>
  <definedNames/>
  <calcPr fullCalcOnLoad="1"/>
</workbook>
</file>

<file path=xl/sharedStrings.xml><?xml version="1.0" encoding="utf-8"?>
<sst xmlns="http://schemas.openxmlformats.org/spreadsheetml/2006/main" count="190" uniqueCount="86">
  <si>
    <t>Hamburg</t>
  </si>
  <si>
    <t>über die Landesgrenze</t>
  </si>
  <si>
    <t xml:space="preserve">Zuzüge </t>
  </si>
  <si>
    <t xml:space="preserve">Fortzüge </t>
  </si>
  <si>
    <t>Schleswig-Holstein</t>
  </si>
  <si>
    <t>insgesamt</t>
  </si>
  <si>
    <t>männlich</t>
  </si>
  <si>
    <t>weiblich</t>
  </si>
  <si>
    <t>1. Vierteljahr 2003</t>
  </si>
  <si>
    <t>1. Vierteljahr 2004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</si>
  <si>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</si>
  <si>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</si>
  <si>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</si>
  <si>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</si>
  <si>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</si>
  <si>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</si>
  <si>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</si>
  <si>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</si>
  <si>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</si>
  <si>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</si>
  <si>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</si>
  <si>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Zuzüge</t>
  </si>
  <si>
    <t>Fortzüge</t>
  </si>
  <si>
    <t>Anzahl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</si>
  <si>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</si>
  <si>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</si>
  <si>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</si>
  <si>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</si>
  <si>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</si>
  <si>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</si>
  <si>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</si>
  <si>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Januar</t>
  </si>
  <si>
    <t>Februar</t>
  </si>
  <si>
    <t>März</t>
  </si>
  <si>
    <r>
      <t>insgesamt</t>
    </r>
    <r>
      <rPr>
        <vertAlign val="superscript"/>
        <sz val="9"/>
        <rFont val="Arial"/>
        <family val="0"/>
      </rPr>
      <t>1</t>
    </r>
  </si>
  <si>
    <t>Wanderungs-gewinn oder -verlust (-)</t>
  </si>
  <si>
    <t>Baden-Württemberg</t>
  </si>
  <si>
    <t>Bayern</t>
  </si>
  <si>
    <t>Berlin</t>
  </si>
  <si>
    <t>Brandenburg</t>
  </si>
  <si>
    <t>Bremen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</si>
  <si>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</si>
  <si>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</si>
  <si>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</si>
  <si>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</si>
  <si>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</si>
  <si>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</si>
  <si>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</si>
  <si>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</si>
  <si>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Bundesrepublik Deutschland</t>
  </si>
  <si>
    <t>Herkunfts- bzw. Zielgebiet</t>
  </si>
  <si>
    <t>Hessen</t>
  </si>
  <si>
    <t>Merkmal</t>
  </si>
  <si>
    <t>Umzüge zwischen Gemeinden innerhalb Schleswig-Holsteins</t>
  </si>
  <si>
    <t>Hinweis:</t>
  </si>
  <si>
    <t xml:space="preserve">Bundeszahlen veröffentlicht das Statistische Bundesamt in seiner Fachserie 1 "Bevölkerung und </t>
  </si>
  <si>
    <t xml:space="preserve">Erwerbstätigkeit", Reihe 1 "Gebiet und Bevölkerung". </t>
  </si>
  <si>
    <t xml:space="preserve">Rechtsgrundlage: </t>
  </si>
  <si>
    <t>Gesetz über die Statistik der Bevölkerungsbewegung und die Fortschreibung des Bevölkerungsstandes</t>
  </si>
  <si>
    <t xml:space="preserve">in der Fassung vom 14. März 1980 (BGBl. I S.308), zuletzt geändert durch Artikel 2 des Gesetzes </t>
  </si>
  <si>
    <t xml:space="preserve">vom 25. März 2002 (BGBl. I S. 1186). </t>
  </si>
  <si>
    <t>Flensburg</t>
  </si>
  <si>
    <t>Kiel</t>
  </si>
  <si>
    <t>Lübeck</t>
  </si>
  <si>
    <t>Neumünster</t>
  </si>
  <si>
    <t>Kreise zusammen</t>
  </si>
  <si>
    <t>Kreisfreie Städte zusammen</t>
  </si>
  <si>
    <t>Insgesamt</t>
  </si>
  <si>
    <t>Umzüge zwischen Ortsteilen innerhalb Hamburgs</t>
  </si>
  <si>
    <t>Saldo</t>
  </si>
  <si>
    <t>Bezirk                        Kreisfreie Stadt                Kreis</t>
  </si>
  <si>
    <t>nach Herkunfts- und Zielgebiet</t>
  </si>
  <si>
    <t>Ausland</t>
  </si>
  <si>
    <t>Bezirk                     Kreisfreie Stadt              Kreis</t>
  </si>
  <si>
    <r>
      <t>innerhalb des Landes</t>
    </r>
    <r>
      <rPr>
        <vertAlign val="superscript"/>
        <sz val="9"/>
        <rFont val="Arial"/>
        <family val="2"/>
      </rPr>
      <t>1</t>
    </r>
  </si>
  <si>
    <t xml:space="preserve">   Schleswig-Holstein: über die Gemeindegrenzen.</t>
  </si>
  <si>
    <r>
      <t>1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</si>
  <si>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 xml:space="preserve">    Schleswig-Holstein: über die Gemeindegrenzen.</t>
  </si>
  <si>
    <r>
      <t>1</t>
    </r>
    <r>
      <rPr>
        <sz val="7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</si>
  <si>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 xml:space="preserve">2. Zu- und Fortzüge im 1. Vierteljahr 2004 </t>
  </si>
  <si>
    <t>3. Zu- und Fortzüge im 1. Vierteljahr 2004 nach Monaten</t>
  </si>
  <si>
    <t>Da der Monat März 2004 in SH falsch war, wird diese Seite für das I. Quartal 2004 gestrichen.</t>
  </si>
  <si>
    <r>
      <t>2.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1.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</si>
  <si>
    <r>
      <t>noch: 2.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1.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</si>
  <si>
    <t>Die Wanderungen im 1. Vierteljahr 2003 und 2004</t>
  </si>
  <si>
    <t>1. Übersicht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</si>
</sst>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\ ###\ ###"/>
    <numFmt numFmtId="166" formatCode="#\ ###\ ###"/>
    <numFmt numFmtId="167" formatCode="#.0\ ###\ ###"/>
    <numFmt numFmtId="168" formatCode="#.00\ ###\ ###"/>
    <numFmt numFmtId="169" formatCode="#\ ###\ ###\ ###"/>
    <numFmt numFmtId="170" formatCode="#0.0\ ###\ ###"/>
    <numFmt numFmtId="171" formatCode="#.\ ###\ ###"/>
    <numFmt numFmtId="172" formatCode=".\ ###\ ;############################################################################################################################################################################"/>
    <numFmt numFmtId="173" formatCode=".\ ###\ ;################################################################################################################################"/>
    <numFmt numFmtId="174" formatCode=".\ ##\ ;################################################################################################################################"/>
    <numFmt numFmtId="175" formatCode=".\ #\ ;################################################################################################################################"/>
    <numFmt numFmtId="176" formatCode=".\ ##\ ;############################################################################################################################################################################"/>
    <numFmt numFmtId="177" formatCode=".\ #\ ;############################################################################################################################################################################"/>
    <numFmt numFmtId="178" formatCode=".\ ##\ ;############################################################################################################################################################################.0"/>
    <numFmt numFmtId="179" formatCode=".\ ###\ ;############################################################################################################################################################################.00"/>
    <numFmt numFmtId="180" formatCode="_-* 0.0"/>
    <numFmt numFmtId="181" formatCode="0.0"/>
    <numFmt numFmtId="182" formatCode="\ \ \ \ \ \ \ \ \ \ \ \ \ \ \ \ \ \ \ \ \ \ \ \ \ \ \ \ \ \ \ \ \ \ \ \ \ \ \ \ \ \ \ \ \ \ \ \ \ \ \ \ \ \ \ \ \ \ \ \ #\ ###\ ###"/>
    <numFmt numFmtId="183" formatCode="\ \ \ \ \ \ \ \ \ \ \ \ \ \ \ \ \ \ \ \ \ \ \ \ \ \ \ \ \ \ \ \ \ \ \ \ \ \ \ \ \ #\ ###\ ###"/>
    <numFmt numFmtId="184" formatCode="\ \ \ \ \ \ \ \ \ \ \ \ \ \ \ \ \ \ \ \ \ \ \ \ \ \ \ \ \ \ \ \ \ \ \ \ \ #\ ###\ ###"/>
    <numFmt numFmtId="185" formatCode="\ \ \ \ \ \ \ \ \ \ \ \ \ \ \ \ \ \ \ \ \ #\ ###\ ###"/>
    <numFmt numFmtId="186" formatCode="\ \ \ \ \ \ \ \ \ #\ ###\ ###"/>
    <numFmt numFmtId="187" formatCode="\ \ \ \ \ \ \ \ \ \ \ \ \ #\ ###\ ###"/>
    <numFmt numFmtId="188" formatCode="\ \ \ \ \ \ \ \ \ \ \ \ \ \ \ \ \ #\ ###\ ###"/>
    <numFmt numFmtId="189" formatCode="\ \ \ \ \ \ \ \ \ \ \ \ \ \ \ \ \ \ \ #\ ###\ ###"/>
    <numFmt numFmtId="190" formatCode="\ \ \ \ \ \ \ \ \ \ \ \ \ \ \ \ \ \ #\ ###\ ###"/>
    <numFmt numFmtId="191" formatCode="\ \ \ \ \ \ \ \ \ \ \ \ \ \ \ \ #\ ###\ ###"/>
    <numFmt numFmtId="192" formatCode="\ \ \ \ \ \ \ \ \ \ \ \ \ \ \ #\ ###\ ###"/>
    <numFmt numFmtId="193" formatCode="\ \ \ \ \ \ \ \ \ \ \ \ \ \ #\ ###\ ###"/>
    <numFmt numFmtId="194" formatCode="\ \ \ \ \ \ \ \ \ \ \ #\ ###\ ###"/>
    <numFmt numFmtId="195" formatCode="\ \ \ \ \ \ \ \ \ \ \ \ #\ ###\ ###"/>
    <numFmt numFmtId="196" formatCode="\ \ \ \ \ \ \ \ \ \ #\ ###\ ###"/>
    <numFmt numFmtId="197" formatCode="[$-407]d/\ mmmm\ yyyy;@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\ \ \ \ \ \ \ \ #\ ###\ ###"/>
    <numFmt numFmtId="203" formatCode="\ \ \ \ \ \ \ #\ ###\ ###"/>
    <numFmt numFmtId="204" formatCode="\ \ \ \ \ \ #\ ###\ ###"/>
    <numFmt numFmtId="205" formatCode="\ \ \ #\ ###"/>
    <numFmt numFmtId="206" formatCode="\ \ \ \ \ \ #\ ###"/>
    <numFmt numFmtId="207" formatCode="\ \ \ \ \ \ \ \ \ #\ ###"/>
    <numFmt numFmtId="208" formatCode="\ \ \ \ \ \ \ \ #\ ###"/>
    <numFmt numFmtId="209" formatCode="\ \ \ #\ ###\ ###"/>
    <numFmt numFmtId="210" formatCode="\ \ \ \ #\ ###\ ###"/>
    <numFmt numFmtId="211" formatCode="\ \ \ \ \ #\ ###\ ###"/>
    <numFmt numFmtId="212" formatCode="\-* ###"/>
    <numFmt numFmtId="213" formatCode="* ###"/>
    <numFmt numFmtId="214" formatCode="##\ ###"/>
  </numFmts>
  <fonts count="1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2"/>
    </font>
    <font>
      <vertAlign val="superscript"/>
      <sz val="8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5" fillId="0" borderId="0" xfId="0" applyNumberFormat="1" applyFont="1" applyAlignment="1">
      <alignment/>
    </xf>
    <xf numFmtId="166" fontId="5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177" fontId="0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181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69" fontId="6" fillId="0" borderId="0" xfId="0" applyNumberFormat="1" applyFont="1" applyBorder="1" applyAlignment="1">
      <alignment/>
    </xf>
    <xf numFmtId="213" fontId="0" fillId="0" borderId="0" xfId="0" applyNumberFormat="1" applyBorder="1" applyAlignment="1">
      <alignment/>
    </xf>
    <xf numFmtId="214" fontId="0" fillId="0" borderId="0" xfId="0" applyNumberFormat="1" applyAlignment="1">
      <alignment/>
    </xf>
    <xf numFmtId="214" fontId="0" fillId="0" borderId="3" xfId="0" applyNumberFormat="1" applyBorder="1" applyAlignment="1">
      <alignment/>
    </xf>
    <xf numFmtId="214" fontId="0" fillId="0" borderId="12" xfId="0" applyNumberFormat="1" applyBorder="1" applyAlignment="1">
      <alignment/>
    </xf>
    <xf numFmtId="214" fontId="5" fillId="0" borderId="0" xfId="0" applyNumberFormat="1" applyFont="1" applyFill="1" applyAlignment="1">
      <alignment/>
    </xf>
    <xf numFmtId="214" fontId="0" fillId="0" borderId="0" xfId="0" applyNumberFormat="1" applyFill="1" applyAlignment="1">
      <alignment/>
    </xf>
    <xf numFmtId="214" fontId="0" fillId="0" borderId="3" xfId="0" applyNumberFormat="1" applyFill="1" applyBorder="1" applyAlignment="1">
      <alignment/>
    </xf>
    <xf numFmtId="214" fontId="0" fillId="0" borderId="12" xfId="0" applyNumberFormat="1" applyFill="1" applyBorder="1" applyAlignment="1">
      <alignment/>
    </xf>
    <xf numFmtId="214" fontId="3" fillId="0" borderId="0" xfId="0" applyNumberFormat="1" applyFont="1" applyAlignment="1">
      <alignment/>
    </xf>
    <xf numFmtId="214" fontId="3" fillId="0" borderId="3" xfId="0" applyNumberFormat="1" applyFont="1" applyBorder="1" applyAlignment="1">
      <alignment/>
    </xf>
    <xf numFmtId="214" fontId="3" fillId="0" borderId="12" xfId="0" applyNumberFormat="1" applyFont="1" applyBorder="1" applyAlignment="1">
      <alignment/>
    </xf>
    <xf numFmtId="212" fontId="0" fillId="0" borderId="12" xfId="0" applyNumberFormat="1" applyBorder="1" applyAlignment="1">
      <alignment horizontal="right"/>
    </xf>
    <xf numFmtId="212" fontId="0" fillId="0" borderId="0" xfId="0" applyNumberFormat="1" applyAlignment="1">
      <alignment/>
    </xf>
    <xf numFmtId="214" fontId="0" fillId="0" borderId="0" xfId="0" applyNumberFormat="1" applyFont="1" applyAlignment="1">
      <alignment/>
    </xf>
    <xf numFmtId="214" fontId="0" fillId="0" borderId="3" xfId="0" applyNumberFormat="1" applyFont="1" applyBorder="1" applyAlignment="1">
      <alignment/>
    </xf>
    <xf numFmtId="214" fontId="0" fillId="0" borderId="12" xfId="0" applyNumberFormat="1" applyFont="1" applyBorder="1" applyAlignment="1">
      <alignment/>
    </xf>
    <xf numFmtId="214" fontId="3" fillId="0" borderId="0" xfId="0" applyNumberFormat="1" applyFont="1" applyAlignment="1">
      <alignment/>
    </xf>
    <xf numFmtId="214" fontId="3" fillId="0" borderId="3" xfId="0" applyNumberFormat="1" applyFont="1" applyBorder="1" applyAlignment="1">
      <alignment/>
    </xf>
    <xf numFmtId="214" fontId="3" fillId="0" borderId="12" xfId="0" applyNumberFormat="1" applyFont="1" applyBorder="1" applyAlignment="1">
      <alignment/>
    </xf>
    <xf numFmtId="212" fontId="0" fillId="0" borderId="12" xfId="0" applyNumberFormat="1" applyFont="1" applyBorder="1" applyAlignment="1">
      <alignment/>
    </xf>
    <xf numFmtId="212" fontId="0" fillId="0" borderId="0" xfId="0" applyNumberFormat="1" applyFont="1" applyAlignment="1">
      <alignment/>
    </xf>
    <xf numFmtId="0" fontId="5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95250</xdr:rowOff>
    </xdr:from>
    <xdr:to>
      <xdr:col>7</xdr:col>
      <xdr:colOff>552450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G54"/>
  <sheetViews>
    <sheetView showGridLines="0" tabSelected="1" workbookViewId="0" topLeftCell="A1">
      <selection activeCell="A16" sqref="A16:G16"/>
    </sheetView>
  </sheetViews>
  <sheetFormatPr defaultColWidth="11.421875" defaultRowHeight="12.75"/>
  <cols>
    <col min="1" max="1" width="25.140625" style="0" customWidth="1"/>
    <col min="2" max="3" width="9.7109375" style="0" customWidth="1"/>
    <col min="4" max="6" width="9.8515625" style="0" customWidth="1"/>
  </cols>
  <sheetData>
    <row r="16" spans="1:7" ht="16.5">
      <c r="A16" s="94" t="s">
        <v>84</v>
      </c>
      <c r="B16" s="92"/>
      <c r="C16" s="92"/>
      <c r="D16" s="92"/>
      <c r="E16" s="92"/>
      <c r="F16" s="92"/>
      <c r="G16" s="92"/>
    </row>
    <row r="17" spans="1:7" ht="12.75">
      <c r="A17" s="92"/>
      <c r="B17" s="92"/>
      <c r="C17" s="92"/>
      <c r="D17" s="92"/>
      <c r="E17" s="92"/>
      <c r="F17" s="92"/>
      <c r="G17" s="92"/>
    </row>
    <row r="19" spans="1:7" ht="12.75">
      <c r="A19" s="92" t="s">
        <v>85</v>
      </c>
      <c r="B19" s="92"/>
      <c r="C19" s="92"/>
      <c r="D19" s="92"/>
      <c r="E19" s="92"/>
      <c r="F19" s="92"/>
      <c r="G19" s="9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95" t="s">
        <v>52</v>
      </c>
      <c r="B21" s="99" t="s">
        <v>8</v>
      </c>
      <c r="C21" s="100"/>
      <c r="D21" s="101"/>
      <c r="E21" s="100" t="s">
        <v>9</v>
      </c>
      <c r="F21" s="100"/>
      <c r="G21" s="100"/>
    </row>
    <row r="22" spans="1:7" ht="12.75">
      <c r="A22" s="96"/>
      <c r="B22" s="13" t="s">
        <v>5</v>
      </c>
      <c r="C22" s="13" t="s">
        <v>6</v>
      </c>
      <c r="D22" s="13" t="s">
        <v>7</v>
      </c>
      <c r="E22" s="13" t="s">
        <v>5</v>
      </c>
      <c r="F22" s="13" t="s">
        <v>6</v>
      </c>
      <c r="G22" s="6" t="s">
        <v>7</v>
      </c>
    </row>
    <row r="23" spans="1:7" ht="12.75">
      <c r="A23" s="46"/>
      <c r="B23" s="33"/>
      <c r="C23" s="33"/>
      <c r="D23" s="33"/>
      <c r="E23" s="33"/>
      <c r="F23" s="33"/>
      <c r="G23" s="33"/>
    </row>
    <row r="24" spans="1:7" ht="12.75">
      <c r="A24" s="98" t="s">
        <v>0</v>
      </c>
      <c r="B24" s="98"/>
      <c r="C24" s="98"/>
      <c r="D24" s="98"/>
      <c r="E24" s="98"/>
      <c r="F24" s="98"/>
      <c r="G24" s="98"/>
    </row>
    <row r="25" spans="1:7" ht="12.75">
      <c r="A25" s="47"/>
      <c r="B25" s="28"/>
      <c r="C25" s="28"/>
      <c r="D25" s="28"/>
      <c r="E25" s="28"/>
      <c r="F25" s="28"/>
      <c r="G25" s="28"/>
    </row>
    <row r="26" spans="1:7" ht="12.75">
      <c r="A26" s="47" t="s">
        <v>2</v>
      </c>
      <c r="B26" s="28">
        <f>C26+D26</f>
        <v>20102</v>
      </c>
      <c r="C26" s="28">
        <f>3797+3360+3617</f>
        <v>10774</v>
      </c>
      <c r="D26" s="28">
        <f>3296+2887+3145</f>
        <v>9328</v>
      </c>
      <c r="E26" s="28">
        <f>F26+G26</f>
        <v>21206</v>
      </c>
      <c r="F26" s="28">
        <f>3822+3355+4308</f>
        <v>11485</v>
      </c>
      <c r="G26" s="28">
        <f>3221+3009+3491</f>
        <v>9721</v>
      </c>
    </row>
    <row r="27" spans="1:7" ht="12.75">
      <c r="A27" s="47" t="s">
        <v>3</v>
      </c>
      <c r="B27" s="28">
        <f>C27+D27</f>
        <v>16624</v>
      </c>
      <c r="C27" s="28">
        <f>3324+2743+3181</f>
        <v>9248</v>
      </c>
      <c r="D27" s="28">
        <f>2626+2221+2529</f>
        <v>7376</v>
      </c>
      <c r="E27" s="28">
        <f>F27+G27</f>
        <v>16602</v>
      </c>
      <c r="F27" s="28">
        <f>2831+2579+3845</f>
        <v>9255</v>
      </c>
      <c r="G27" s="28">
        <f>2290+2194+2863</f>
        <v>7347</v>
      </c>
    </row>
    <row r="28" spans="1:7" ht="12.75">
      <c r="A28" s="47" t="s">
        <v>69</v>
      </c>
      <c r="B28" s="28">
        <f>C28+D28</f>
        <v>3478</v>
      </c>
      <c r="C28" s="28">
        <f>473+617+436</f>
        <v>1526</v>
      </c>
      <c r="D28" s="28">
        <f>670+666+616</f>
        <v>1952</v>
      </c>
      <c r="E28" s="28">
        <f>F28+G28</f>
        <v>4604</v>
      </c>
      <c r="F28" s="28">
        <f>991+776+463</f>
        <v>2230</v>
      </c>
      <c r="G28" s="28">
        <f>931+815+628</f>
        <v>2374</v>
      </c>
    </row>
    <row r="29" spans="1:7" ht="12.75">
      <c r="A29" s="47"/>
      <c r="B29" s="28"/>
      <c r="C29" s="28"/>
      <c r="D29" s="28"/>
      <c r="E29" s="28"/>
      <c r="F29" s="28"/>
      <c r="G29" s="28"/>
    </row>
    <row r="30" spans="1:7" ht="12.75">
      <c r="A30" s="97" t="s">
        <v>68</v>
      </c>
      <c r="B30" s="91">
        <f>C30+D30</f>
        <v>27172</v>
      </c>
      <c r="C30" s="91">
        <f>4889+4250+4554</f>
        <v>13693</v>
      </c>
      <c r="D30" s="91">
        <f>4768+4212+4499</f>
        <v>13479</v>
      </c>
      <c r="E30" s="91">
        <f>F30+G30</f>
        <v>29071</v>
      </c>
      <c r="F30" s="91">
        <f>4812+4686+5146</f>
        <v>14644</v>
      </c>
      <c r="G30" s="91">
        <f>4792+4496+5139</f>
        <v>14427</v>
      </c>
    </row>
    <row r="31" spans="1:7" ht="12.75">
      <c r="A31" s="97"/>
      <c r="B31" s="91"/>
      <c r="C31" s="91"/>
      <c r="D31" s="91"/>
      <c r="E31" s="91"/>
      <c r="F31" s="91"/>
      <c r="G31" s="91"/>
    </row>
    <row r="32" spans="1:7" ht="12.75">
      <c r="A32" s="48"/>
      <c r="B32" s="34"/>
      <c r="C32" s="34"/>
      <c r="D32" s="34"/>
      <c r="E32" s="34"/>
      <c r="F32" s="34"/>
      <c r="G32" s="34"/>
    </row>
    <row r="33" spans="1:7" ht="12.75">
      <c r="A33" s="102" t="s">
        <v>4</v>
      </c>
      <c r="B33" s="102"/>
      <c r="C33" s="102"/>
      <c r="D33" s="102"/>
      <c r="E33" s="102"/>
      <c r="F33" s="102"/>
      <c r="G33" s="102"/>
    </row>
    <row r="34" spans="1:7" ht="12.75">
      <c r="A34" s="47"/>
      <c r="B34" s="28"/>
      <c r="C34" s="28"/>
      <c r="D34" s="28"/>
      <c r="E34" s="28"/>
      <c r="F34" s="28"/>
      <c r="G34" s="28"/>
    </row>
    <row r="35" spans="1:7" ht="12.75">
      <c r="A35" s="47" t="s">
        <v>2</v>
      </c>
      <c r="B35" s="28">
        <v>18006</v>
      </c>
      <c r="C35" s="28">
        <v>9319</v>
      </c>
      <c r="D35" s="28">
        <v>8687</v>
      </c>
      <c r="E35" s="28">
        <v>17151</v>
      </c>
      <c r="F35" s="28">
        <v>8898</v>
      </c>
      <c r="G35" s="28">
        <v>8253</v>
      </c>
    </row>
    <row r="36" spans="1:7" ht="12.75">
      <c r="A36" s="47" t="s">
        <v>3</v>
      </c>
      <c r="B36" s="28">
        <v>15484</v>
      </c>
      <c r="C36" s="28">
        <v>8156</v>
      </c>
      <c r="D36" s="28">
        <v>7328</v>
      </c>
      <c r="E36" s="28">
        <v>16157</v>
      </c>
      <c r="F36" s="28">
        <v>8831</v>
      </c>
      <c r="G36" s="28">
        <v>7326</v>
      </c>
    </row>
    <row r="37" spans="1:7" ht="12.75">
      <c r="A37" s="47" t="s">
        <v>69</v>
      </c>
      <c r="B37" s="28">
        <v>2522</v>
      </c>
      <c r="C37" s="28">
        <v>1163</v>
      </c>
      <c r="D37" s="28">
        <v>1359</v>
      </c>
      <c r="E37" s="28">
        <v>994</v>
      </c>
      <c r="F37" s="28">
        <v>67</v>
      </c>
      <c r="G37" s="28">
        <v>927</v>
      </c>
    </row>
    <row r="38" spans="1:7" ht="12.75">
      <c r="A38" s="47"/>
      <c r="B38" s="28"/>
      <c r="C38" s="28"/>
      <c r="D38" s="28"/>
      <c r="E38" s="28"/>
      <c r="F38" s="28"/>
      <c r="G38" s="28"/>
    </row>
    <row r="39" spans="1:7" ht="12.75">
      <c r="A39" s="103" t="s">
        <v>53</v>
      </c>
      <c r="B39" s="91">
        <v>29737</v>
      </c>
      <c r="C39" s="91">
        <v>14993</v>
      </c>
      <c r="D39" s="91">
        <v>14744</v>
      </c>
      <c r="E39" s="91">
        <v>28831</v>
      </c>
      <c r="F39" s="91">
        <v>14563</v>
      </c>
      <c r="G39" s="91">
        <v>14268</v>
      </c>
    </row>
    <row r="40" spans="1:7" ht="12.75">
      <c r="A40" s="103"/>
      <c r="B40" s="91"/>
      <c r="C40" s="91"/>
      <c r="D40" s="91"/>
      <c r="E40" s="91"/>
      <c r="F40" s="91"/>
      <c r="G40" s="91"/>
    </row>
    <row r="47" ht="12.75">
      <c r="A47" s="7" t="s">
        <v>54</v>
      </c>
    </row>
    <row r="48" spans="1:7" ht="12.75">
      <c r="A48" s="93" t="s">
        <v>55</v>
      </c>
      <c r="B48" s="93"/>
      <c r="C48" s="93"/>
      <c r="D48" s="93"/>
      <c r="E48" s="93"/>
      <c r="F48" s="93"/>
      <c r="G48" s="93"/>
    </row>
    <row r="49" spans="1:7" ht="12.75">
      <c r="A49" s="93" t="s">
        <v>56</v>
      </c>
      <c r="B49" s="93"/>
      <c r="C49" s="93"/>
      <c r="D49" s="93"/>
      <c r="E49" s="93"/>
      <c r="F49" s="93"/>
      <c r="G49" s="93"/>
    </row>
    <row r="51" ht="12.75">
      <c r="A51" s="7" t="s">
        <v>57</v>
      </c>
    </row>
    <row r="52" spans="1:7" ht="12.75">
      <c r="A52" s="93" t="s">
        <v>58</v>
      </c>
      <c r="B52" s="93"/>
      <c r="C52" s="93"/>
      <c r="D52" s="93"/>
      <c r="E52" s="93"/>
      <c r="F52" s="93"/>
      <c r="G52" s="93"/>
    </row>
    <row r="53" spans="1:7" ht="12.75">
      <c r="A53" s="93" t="s">
        <v>59</v>
      </c>
      <c r="B53" s="93"/>
      <c r="C53" s="93"/>
      <c r="D53" s="93"/>
      <c r="E53" s="93"/>
      <c r="F53" s="93"/>
      <c r="G53" s="93"/>
    </row>
    <row r="54" spans="1:7" ht="12.75">
      <c r="A54" s="93" t="s">
        <v>60</v>
      </c>
      <c r="B54" s="93"/>
      <c r="C54" s="93"/>
      <c r="D54" s="93"/>
      <c r="E54" s="93"/>
      <c r="F54" s="93"/>
      <c r="G54" s="93"/>
    </row>
  </sheetData>
  <sheetProtection password="E792" sheet="1" objects="1" scenarios="1"/>
  <mergeCells count="27">
    <mergeCell ref="B39:B40"/>
    <mergeCell ref="C39:C40"/>
    <mergeCell ref="A16:G16"/>
    <mergeCell ref="A17:G17"/>
    <mergeCell ref="A21:A22"/>
    <mergeCell ref="A30:A31"/>
    <mergeCell ref="A24:G24"/>
    <mergeCell ref="B21:D21"/>
    <mergeCell ref="E21:G21"/>
    <mergeCell ref="F30:F31"/>
    <mergeCell ref="G30:G31"/>
    <mergeCell ref="B30:B31"/>
    <mergeCell ref="A54:G54"/>
    <mergeCell ref="A48:G48"/>
    <mergeCell ref="A49:G49"/>
    <mergeCell ref="A52:G52"/>
    <mergeCell ref="A53:G53"/>
    <mergeCell ref="D39:D40"/>
    <mergeCell ref="E39:E40"/>
    <mergeCell ref="F39:F40"/>
    <mergeCell ref="A19:G19"/>
    <mergeCell ref="G39:G40"/>
    <mergeCell ref="A33:G33"/>
    <mergeCell ref="C30:C31"/>
    <mergeCell ref="D30:D31"/>
    <mergeCell ref="E30:E31"/>
    <mergeCell ref="A39:A40"/>
  </mergeCells>
  <printOptions horizontalCentered="1"/>
  <pageMargins left="0.29" right="0.16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21247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workbookViewId="0" topLeftCell="A8">
      <selection activeCell="D25" sqref="D25"/>
    </sheetView>
  </sheetViews>
  <sheetFormatPr defaultColWidth="11.421875" defaultRowHeight="12.75"/>
  <cols>
    <col min="1" max="1" width="21.00390625" style="0" customWidth="1"/>
    <col min="2" max="2" width="9.00390625" style="0" customWidth="1"/>
    <col min="3" max="3" width="10.00390625" style="0" customWidth="1"/>
    <col min="4" max="4" width="12.00390625" style="0" customWidth="1"/>
    <col min="5" max="5" width="9.00390625" style="0" customWidth="1"/>
    <col min="6" max="6" width="10.00390625" style="0" customWidth="1"/>
    <col min="7" max="7" width="12.00390625" style="0" customWidth="1"/>
    <col min="8" max="8" width="14.7109375" style="0" customWidth="1"/>
    <col min="9" max="9" width="10.57421875" style="5" customWidth="1"/>
    <col min="10" max="10" width="19.00390625" style="0" customWidth="1"/>
    <col min="11" max="11" width="12.28125" style="0" bestFit="1" customWidth="1"/>
  </cols>
  <sheetData>
    <row r="1" spans="1:8" ht="12.75">
      <c r="A1" s="92" t="s">
        <v>79</v>
      </c>
      <c r="B1" s="92"/>
      <c r="C1" s="92"/>
      <c r="D1" s="92"/>
      <c r="E1" s="92"/>
      <c r="F1" s="92"/>
      <c r="G1" s="92"/>
      <c r="H1" s="92"/>
    </row>
    <row r="2" ht="12.75" customHeight="1">
      <c r="H2" s="2"/>
    </row>
    <row r="3" spans="1:10" ht="39" customHeight="1">
      <c r="A3" s="105" t="s">
        <v>70</v>
      </c>
      <c r="B3" s="107" t="s">
        <v>21</v>
      </c>
      <c r="C3" s="108"/>
      <c r="D3" s="87"/>
      <c r="E3" s="107" t="s">
        <v>22</v>
      </c>
      <c r="F3" s="108"/>
      <c r="G3" s="87"/>
      <c r="H3" s="53" t="s">
        <v>35</v>
      </c>
      <c r="I3" s="44"/>
      <c r="J3" s="39"/>
    </row>
    <row r="4" spans="1:10" ht="37.5">
      <c r="A4" s="106"/>
      <c r="B4" s="9" t="s">
        <v>5</v>
      </c>
      <c r="C4" s="9" t="s">
        <v>74</v>
      </c>
      <c r="D4" s="10" t="s">
        <v>1</v>
      </c>
      <c r="E4" s="9" t="s">
        <v>5</v>
      </c>
      <c r="F4" s="9" t="s">
        <v>74</v>
      </c>
      <c r="G4" s="10" t="s">
        <v>1</v>
      </c>
      <c r="H4" s="31" t="s">
        <v>23</v>
      </c>
      <c r="I4" s="32"/>
      <c r="J4" s="40"/>
    </row>
    <row r="5" spans="1:10" ht="12.75">
      <c r="A5" s="32"/>
      <c r="B5" s="32"/>
      <c r="C5" s="32"/>
      <c r="D5" s="32"/>
      <c r="E5" s="32"/>
      <c r="F5" s="32"/>
      <c r="G5" s="32"/>
      <c r="H5" s="32"/>
      <c r="I5" s="32"/>
      <c r="J5" s="40"/>
    </row>
    <row r="6" spans="1:10" ht="12.75">
      <c r="A6" s="104" t="s">
        <v>0</v>
      </c>
      <c r="B6" s="104"/>
      <c r="C6" s="104"/>
      <c r="D6" s="104"/>
      <c r="E6" s="104"/>
      <c r="F6" s="104"/>
      <c r="G6" s="104"/>
      <c r="H6" s="104"/>
      <c r="I6" s="32"/>
      <c r="J6" s="40"/>
    </row>
    <row r="7" spans="1:10" ht="12.75">
      <c r="A7" s="5"/>
      <c r="B7" s="5"/>
      <c r="C7" s="5"/>
      <c r="D7" s="5"/>
      <c r="E7" s="5"/>
      <c r="F7" s="5"/>
      <c r="G7" s="5"/>
      <c r="H7" s="5"/>
      <c r="J7" s="39"/>
    </row>
    <row r="8" spans="1:10" ht="12.75">
      <c r="A8" s="29" t="s">
        <v>24</v>
      </c>
      <c r="B8" s="36">
        <f>C8+D8</f>
        <v>7815</v>
      </c>
      <c r="C8" s="36">
        <f>1473+1455+1571</f>
        <v>4499</v>
      </c>
      <c r="D8" s="36">
        <f>1089+1043+1184</f>
        <v>3316</v>
      </c>
      <c r="E8" s="36">
        <f>F8+G8</f>
        <v>7047</v>
      </c>
      <c r="F8" s="36">
        <f>1596+1358+1593</f>
        <v>4547</v>
      </c>
      <c r="G8" s="36">
        <f>782+733+985</f>
        <v>2500</v>
      </c>
      <c r="H8" s="36">
        <f>B8-E8</f>
        <v>768</v>
      </c>
      <c r="I8" s="42"/>
      <c r="J8" s="37"/>
    </row>
    <row r="9" spans="1:10" ht="12" customHeight="1">
      <c r="A9" s="29"/>
      <c r="B9" s="36"/>
      <c r="C9" s="36"/>
      <c r="D9" s="36"/>
      <c r="E9" s="36"/>
      <c r="F9" s="36"/>
      <c r="G9" s="36"/>
      <c r="H9" s="36"/>
      <c r="I9" s="42"/>
      <c r="J9" s="37"/>
    </row>
    <row r="10" spans="1:10" ht="12.75">
      <c r="A10" s="29" t="s">
        <v>25</v>
      </c>
      <c r="B10" s="36">
        <f>C10+D10</f>
        <v>7783</v>
      </c>
      <c r="C10" s="36">
        <f>1399+1475+1471</f>
        <v>4345</v>
      </c>
      <c r="D10" s="36">
        <f>1229+812+1397</f>
        <v>3438</v>
      </c>
      <c r="E10" s="36">
        <f aca="true" t="shared" si="0" ref="E10:E20">F10+G10</f>
        <v>7322</v>
      </c>
      <c r="F10" s="36">
        <f>1451+1432+1441</f>
        <v>4324</v>
      </c>
      <c r="G10" s="36">
        <f>792+826+1380</f>
        <v>2998</v>
      </c>
      <c r="H10" s="36">
        <f aca="true" t="shared" si="1" ref="H10:H20">B10-E10</f>
        <v>461</v>
      </c>
      <c r="I10" s="42"/>
      <c r="J10" s="37"/>
    </row>
    <row r="11" spans="1:10" ht="12" customHeight="1">
      <c r="A11" s="29"/>
      <c r="B11" s="36"/>
      <c r="C11" s="36"/>
      <c r="D11" s="36"/>
      <c r="E11" s="36"/>
      <c r="F11" s="36"/>
      <c r="G11" s="36"/>
      <c r="H11" s="36"/>
      <c r="I11" s="42"/>
      <c r="J11" s="37"/>
    </row>
    <row r="12" spans="1:10" ht="12.75">
      <c r="A12" s="29" t="s">
        <v>26</v>
      </c>
      <c r="B12" s="36">
        <f>C12+D12</f>
        <v>7622</v>
      </c>
      <c r="C12" s="36">
        <f>1521+1388+1500</f>
        <v>4409</v>
      </c>
      <c r="D12" s="36">
        <f>1087+1011+1115</f>
        <v>3213</v>
      </c>
      <c r="E12" s="36">
        <f t="shared" si="0"/>
        <v>6770</v>
      </c>
      <c r="F12" s="36">
        <f>1484+1430+1562</f>
        <v>4476</v>
      </c>
      <c r="G12" s="36">
        <f>680+718+896</f>
        <v>2294</v>
      </c>
      <c r="H12" s="36">
        <f t="shared" si="1"/>
        <v>852</v>
      </c>
      <c r="I12" s="42"/>
      <c r="J12" s="37"/>
    </row>
    <row r="13" spans="1:10" ht="12" customHeight="1">
      <c r="A13" s="29"/>
      <c r="B13" s="36"/>
      <c r="C13" s="36"/>
      <c r="D13" s="36"/>
      <c r="E13" s="36"/>
      <c r="F13" s="36"/>
      <c r="G13" s="36"/>
      <c r="H13" s="36"/>
      <c r="I13" s="42"/>
      <c r="J13" s="37"/>
    </row>
    <row r="14" spans="1:10" ht="12.75">
      <c r="A14" s="29" t="s">
        <v>27</v>
      </c>
      <c r="B14" s="36">
        <f aca="true" t="shared" si="2" ref="B14:B20">C14+D14</f>
        <v>9937</v>
      </c>
      <c r="C14" s="36">
        <f>1851+1754+2005</f>
        <v>5610</v>
      </c>
      <c r="D14" s="36">
        <f>1401+1337+1589</f>
        <v>4327</v>
      </c>
      <c r="E14" s="36">
        <f t="shared" si="0"/>
        <v>8470</v>
      </c>
      <c r="F14" s="36">
        <f>1847+1793+1966</f>
        <v>5606</v>
      </c>
      <c r="G14" s="36">
        <f>873+830+1161</f>
        <v>2864</v>
      </c>
      <c r="H14" s="36">
        <f t="shared" si="1"/>
        <v>1467</v>
      </c>
      <c r="I14" s="42"/>
      <c r="J14" s="37"/>
    </row>
    <row r="15" spans="1:10" ht="12" customHeight="1">
      <c r="A15" s="29"/>
      <c r="B15" s="36"/>
      <c r="C15" s="36"/>
      <c r="D15" s="36"/>
      <c r="E15" s="36"/>
      <c r="F15" s="36"/>
      <c r="G15" s="36"/>
      <c r="H15" s="36"/>
      <c r="I15" s="42"/>
      <c r="J15" s="37"/>
    </row>
    <row r="16" spans="1:10" ht="12.75">
      <c r="A16" s="29" t="s">
        <v>28</v>
      </c>
      <c r="B16" s="36">
        <f t="shared" si="2"/>
        <v>8951</v>
      </c>
      <c r="C16" s="36">
        <f>1824+1643+2048</f>
        <v>5515</v>
      </c>
      <c r="D16" s="36">
        <f>1146+1094+1196</f>
        <v>3436</v>
      </c>
      <c r="E16" s="36">
        <f t="shared" si="0"/>
        <v>8569</v>
      </c>
      <c r="F16" s="36">
        <f>1770+1773+2184</f>
        <v>5727</v>
      </c>
      <c r="G16" s="36">
        <f>981+797+1064</f>
        <v>2842</v>
      </c>
      <c r="H16" s="36">
        <f t="shared" si="1"/>
        <v>382</v>
      </c>
      <c r="I16" s="42"/>
      <c r="J16" s="37"/>
    </row>
    <row r="17" spans="1:10" ht="12" customHeight="1">
      <c r="A17" s="29"/>
      <c r="B17" s="36"/>
      <c r="C17" s="36"/>
      <c r="D17" s="36"/>
      <c r="E17" s="36"/>
      <c r="F17" s="36"/>
      <c r="G17" s="36"/>
      <c r="H17" s="36"/>
      <c r="I17" s="42"/>
      <c r="J17" s="37"/>
    </row>
    <row r="18" spans="1:10" ht="12.75">
      <c r="A18" s="29" t="s">
        <v>29</v>
      </c>
      <c r="B18" s="36">
        <f t="shared" si="2"/>
        <v>2748</v>
      </c>
      <c r="C18" s="36">
        <f>554+500+555</f>
        <v>1609</v>
      </c>
      <c r="D18" s="36">
        <f>368+345+426</f>
        <v>1139</v>
      </c>
      <c r="E18" s="36">
        <f t="shared" si="0"/>
        <v>2373</v>
      </c>
      <c r="F18" s="36">
        <f>527+436+514</f>
        <v>1477</v>
      </c>
      <c r="G18" s="36">
        <f>362+239+295</f>
        <v>896</v>
      </c>
      <c r="H18" s="36">
        <f t="shared" si="1"/>
        <v>375</v>
      </c>
      <c r="I18" s="42"/>
      <c r="J18" s="37"/>
    </row>
    <row r="19" spans="1:10" ht="12" customHeight="1">
      <c r="A19" s="29"/>
      <c r="B19" s="36"/>
      <c r="C19" s="36"/>
      <c r="D19" s="36"/>
      <c r="E19" s="36"/>
      <c r="F19" s="36"/>
      <c r="G19" s="36"/>
      <c r="H19" s="36"/>
      <c r="I19" s="42"/>
      <c r="J19" s="37"/>
    </row>
    <row r="20" spans="1:10" ht="12.75">
      <c r="A20" s="29" t="s">
        <v>30</v>
      </c>
      <c r="B20" s="36">
        <f t="shared" si="2"/>
        <v>5421</v>
      </c>
      <c r="C20" s="36">
        <f>982+967+1135</f>
        <v>3084</v>
      </c>
      <c r="D20" s="36">
        <f>723+722+892</f>
        <v>2337</v>
      </c>
      <c r="E20" s="36">
        <f t="shared" si="0"/>
        <v>5122</v>
      </c>
      <c r="F20" s="36">
        <f>929+960+1025</f>
        <v>2914</v>
      </c>
      <c r="G20" s="36">
        <f>651+630+927</f>
        <v>2208</v>
      </c>
      <c r="H20" s="36">
        <f t="shared" si="1"/>
        <v>299</v>
      </c>
      <c r="I20" s="42"/>
      <c r="J20" s="37"/>
    </row>
    <row r="21" spans="1:10" ht="12" customHeight="1">
      <c r="A21" s="29"/>
      <c r="B21" s="36"/>
      <c r="C21" s="36"/>
      <c r="D21" s="36"/>
      <c r="E21" s="36"/>
      <c r="F21" s="36"/>
      <c r="G21" s="36"/>
      <c r="H21" s="36"/>
      <c r="I21" s="42"/>
      <c r="J21" s="37"/>
    </row>
    <row r="22" spans="1:10" s="7" customFormat="1" ht="12.75">
      <c r="A22" s="30" t="s">
        <v>0</v>
      </c>
      <c r="B22" s="38">
        <f aca="true" t="shared" si="3" ref="B22:H22">B8+B10+B12+B14+B16+B18+B20</f>
        <v>50277</v>
      </c>
      <c r="C22" s="38">
        <f t="shared" si="3"/>
        <v>29071</v>
      </c>
      <c r="D22" s="38">
        <f t="shared" si="3"/>
        <v>21206</v>
      </c>
      <c r="E22" s="38">
        <f t="shared" si="3"/>
        <v>45673</v>
      </c>
      <c r="F22" s="38">
        <f t="shared" si="3"/>
        <v>29071</v>
      </c>
      <c r="G22" s="38">
        <f t="shared" si="3"/>
        <v>16602</v>
      </c>
      <c r="H22" s="38">
        <f t="shared" si="3"/>
        <v>4604</v>
      </c>
      <c r="I22" s="45"/>
      <c r="J22" s="41"/>
    </row>
    <row r="23" spans="1:10" s="7" customFormat="1" ht="12.75" customHeight="1">
      <c r="A23" s="49"/>
      <c r="B23" s="38"/>
      <c r="C23" s="38"/>
      <c r="D23" s="38"/>
      <c r="E23" s="38"/>
      <c r="F23" s="38"/>
      <c r="G23" s="38"/>
      <c r="H23" s="38"/>
      <c r="I23" s="45"/>
      <c r="J23" s="41"/>
    </row>
    <row r="24" spans="1:13" s="7" customFormat="1" ht="12.75" customHeight="1">
      <c r="A24" s="88" t="s">
        <v>81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0" s="7" customFormat="1" ht="12.75" customHeight="1">
      <c r="A25" s="49"/>
      <c r="B25" s="38"/>
      <c r="C25" s="38"/>
      <c r="D25" s="38"/>
      <c r="E25" s="38"/>
      <c r="F25" s="38"/>
      <c r="G25" s="38"/>
      <c r="H25" s="38"/>
      <c r="I25" s="45"/>
      <c r="J25" s="41"/>
    </row>
    <row r="26" spans="1:13" s="7" customFormat="1" ht="12.75" customHeight="1">
      <c r="A26" s="104" t="s">
        <v>4</v>
      </c>
      <c r="B26" s="104"/>
      <c r="C26" s="104"/>
      <c r="D26" s="104"/>
      <c r="E26" s="104"/>
      <c r="F26" s="104"/>
      <c r="G26" s="104"/>
      <c r="H26" s="104"/>
      <c r="I26" s="57"/>
      <c r="J26" s="58"/>
      <c r="K26" s="59"/>
      <c r="L26" s="59"/>
      <c r="M26" s="59"/>
    </row>
    <row r="27" spans="1:10" ht="12.75">
      <c r="A27" s="5"/>
      <c r="B27" s="5"/>
      <c r="C27" s="5"/>
      <c r="D27" s="5"/>
      <c r="E27" s="5"/>
      <c r="F27" s="5"/>
      <c r="G27" s="5"/>
      <c r="H27" s="5"/>
      <c r="I27" s="39"/>
      <c r="J27" s="39"/>
    </row>
    <row r="28" spans="1:10" ht="12.75">
      <c r="A28" s="29" t="s">
        <v>61</v>
      </c>
      <c r="B28" s="36">
        <v>1541</v>
      </c>
      <c r="C28" s="36">
        <v>774</v>
      </c>
      <c r="D28" s="36">
        <v>767</v>
      </c>
      <c r="E28" s="36">
        <v>1290</v>
      </c>
      <c r="F28" s="36">
        <v>772</v>
      </c>
      <c r="G28" s="36">
        <v>518</v>
      </c>
      <c r="H28" s="36">
        <f>SUM(B28-E28)</f>
        <v>251</v>
      </c>
      <c r="I28" s="27"/>
      <c r="J28" s="37"/>
    </row>
    <row r="29" spans="1:10" ht="12.75">
      <c r="A29" s="29" t="s">
        <v>62</v>
      </c>
      <c r="B29" s="36">
        <v>3437</v>
      </c>
      <c r="C29" s="36">
        <v>1736</v>
      </c>
      <c r="D29" s="36">
        <v>1701</v>
      </c>
      <c r="E29" s="36">
        <v>3481</v>
      </c>
      <c r="F29" s="36">
        <v>1674</v>
      </c>
      <c r="G29" s="36">
        <v>1807</v>
      </c>
      <c r="H29" s="66">
        <f>SUM(B29-E29)</f>
        <v>-44</v>
      </c>
      <c r="I29" s="26"/>
      <c r="J29" s="39"/>
    </row>
    <row r="30" spans="1:10" ht="12.75">
      <c r="A30" s="29" t="s">
        <v>63</v>
      </c>
      <c r="B30" s="36">
        <v>2624</v>
      </c>
      <c r="C30" s="36">
        <v>946</v>
      </c>
      <c r="D30" s="36">
        <v>1678</v>
      </c>
      <c r="E30" s="36">
        <v>2719</v>
      </c>
      <c r="F30" s="36">
        <v>1224</v>
      </c>
      <c r="G30" s="36">
        <v>1495</v>
      </c>
      <c r="H30" s="66">
        <f>SUM(B30-E30)</f>
        <v>-95</v>
      </c>
      <c r="I30" s="26"/>
      <c r="J30" s="39"/>
    </row>
    <row r="31" spans="1:10" ht="12.75">
      <c r="A31" s="29" t="s">
        <v>64</v>
      </c>
      <c r="B31" s="36">
        <v>954</v>
      </c>
      <c r="C31" s="36">
        <v>668</v>
      </c>
      <c r="D31" s="36">
        <v>286</v>
      </c>
      <c r="E31" s="36">
        <v>923</v>
      </c>
      <c r="F31" s="36">
        <v>557</v>
      </c>
      <c r="G31" s="36">
        <v>366</v>
      </c>
      <c r="H31" s="36">
        <f>SUM(B31-E31)</f>
        <v>31</v>
      </c>
      <c r="I31" s="27"/>
      <c r="J31" s="39"/>
    </row>
    <row r="32" spans="1:10" ht="12.75">
      <c r="A32" s="29"/>
      <c r="B32" s="36"/>
      <c r="C32" s="36"/>
      <c r="D32" s="36"/>
      <c r="E32" s="36"/>
      <c r="F32" s="36"/>
      <c r="G32" s="36"/>
      <c r="H32" s="36"/>
      <c r="I32" s="27"/>
      <c r="J32" s="39"/>
    </row>
    <row r="33" spans="1:11" ht="12.75">
      <c r="A33" s="29" t="s">
        <v>66</v>
      </c>
      <c r="B33" s="36">
        <f aca="true" t="shared" si="4" ref="B33:G33">B28+B29+B30+B31</f>
        <v>8556</v>
      </c>
      <c r="C33" s="36">
        <f t="shared" si="4"/>
        <v>4124</v>
      </c>
      <c r="D33" s="36">
        <f t="shared" si="4"/>
        <v>4432</v>
      </c>
      <c r="E33" s="36">
        <f t="shared" si="4"/>
        <v>8413</v>
      </c>
      <c r="F33" s="36">
        <f t="shared" si="4"/>
        <v>4227</v>
      </c>
      <c r="G33" s="36">
        <f t="shared" si="4"/>
        <v>4186</v>
      </c>
      <c r="H33" s="36">
        <f>SUM(B33-E33)</f>
        <v>143</v>
      </c>
      <c r="I33" s="27"/>
      <c r="J33" s="37"/>
      <c r="K33" s="20"/>
    </row>
    <row r="34" spans="1:10" ht="12.75">
      <c r="A34" s="29"/>
      <c r="B34" s="36"/>
      <c r="C34" s="36"/>
      <c r="D34" s="36"/>
      <c r="E34" s="36"/>
      <c r="F34" s="36"/>
      <c r="G34" s="36"/>
      <c r="H34" s="36"/>
      <c r="I34" s="27"/>
      <c r="J34" s="39"/>
    </row>
    <row r="35" spans="1:10" ht="12.75">
      <c r="A35" s="29" t="s">
        <v>10</v>
      </c>
      <c r="B35" s="36">
        <v>2314</v>
      </c>
      <c r="C35" s="36">
        <v>1670</v>
      </c>
      <c r="D35" s="36">
        <v>644</v>
      </c>
      <c r="E35" s="36">
        <v>2161</v>
      </c>
      <c r="F35" s="36">
        <v>1712</v>
      </c>
      <c r="G35" s="36">
        <v>449</v>
      </c>
      <c r="H35" s="36">
        <f>SUM(B35-E35)</f>
        <v>153</v>
      </c>
      <c r="I35" s="27"/>
      <c r="J35" s="39"/>
    </row>
    <row r="36" spans="1:10" ht="12.75">
      <c r="A36" s="29" t="s">
        <v>11</v>
      </c>
      <c r="B36" s="36">
        <v>3187</v>
      </c>
      <c r="C36" s="36">
        <v>1712</v>
      </c>
      <c r="D36" s="36">
        <v>1475</v>
      </c>
      <c r="E36" s="36">
        <v>2781</v>
      </c>
      <c r="F36" s="36">
        <v>1656</v>
      </c>
      <c r="G36" s="36">
        <v>1125</v>
      </c>
      <c r="H36" s="36">
        <f>SUM(B36-E36)</f>
        <v>406</v>
      </c>
      <c r="I36" s="27"/>
      <c r="J36" s="39"/>
    </row>
    <row r="37" spans="1:10" ht="12.75">
      <c r="A37" s="29" t="s">
        <v>12</v>
      </c>
      <c r="B37" s="36">
        <v>3191</v>
      </c>
      <c r="C37" s="36">
        <v>2248</v>
      </c>
      <c r="D37" s="36">
        <v>943</v>
      </c>
      <c r="E37" s="36">
        <v>3070</v>
      </c>
      <c r="F37" s="36">
        <v>2259</v>
      </c>
      <c r="G37" s="36">
        <v>811</v>
      </c>
      <c r="H37" s="36">
        <f>SUM(B37-E37)</f>
        <v>121</v>
      </c>
      <c r="I37" s="27"/>
      <c r="J37" s="39"/>
    </row>
    <row r="38" spans="1:10" ht="12.75">
      <c r="A38" s="29" t="s">
        <v>13</v>
      </c>
      <c r="B38" s="36">
        <v>3550</v>
      </c>
      <c r="C38" s="36">
        <v>2399</v>
      </c>
      <c r="D38" s="36">
        <v>1151</v>
      </c>
      <c r="E38" s="36">
        <v>3122</v>
      </c>
      <c r="F38" s="36">
        <v>2267</v>
      </c>
      <c r="G38" s="36">
        <v>855</v>
      </c>
      <c r="H38" s="36">
        <f>SUM(B38-E38)</f>
        <v>428</v>
      </c>
      <c r="I38" s="27"/>
      <c r="J38" s="39"/>
    </row>
    <row r="39" spans="1:10" ht="12.75">
      <c r="A39" s="29"/>
      <c r="B39" s="36"/>
      <c r="C39" s="36"/>
      <c r="D39" s="36"/>
      <c r="E39" s="36"/>
      <c r="F39" s="36"/>
      <c r="G39" s="36"/>
      <c r="H39" s="36"/>
      <c r="I39" s="27"/>
      <c r="J39" s="39"/>
    </row>
    <row r="40" spans="1:11" ht="12.75">
      <c r="A40" s="29" t="s">
        <v>14</v>
      </c>
      <c r="B40" s="36">
        <v>4789</v>
      </c>
      <c r="C40" s="36">
        <v>2428</v>
      </c>
      <c r="D40" s="36">
        <v>2361</v>
      </c>
      <c r="E40" s="36">
        <v>4118</v>
      </c>
      <c r="F40" s="36">
        <v>2500</v>
      </c>
      <c r="G40" s="36">
        <v>1618</v>
      </c>
      <c r="H40" s="36">
        <f>SUM(B40-E40)</f>
        <v>671</v>
      </c>
      <c r="I40" s="27"/>
      <c r="J40" s="39"/>
      <c r="K40" s="23"/>
    </row>
    <row r="41" spans="1:10" ht="12.75">
      <c r="A41" s="29" t="s">
        <v>15</v>
      </c>
      <c r="B41" s="36">
        <v>2148</v>
      </c>
      <c r="C41" s="36">
        <v>1676</v>
      </c>
      <c r="D41" s="36">
        <v>472</v>
      </c>
      <c r="E41" s="36">
        <v>2029</v>
      </c>
      <c r="F41" s="36">
        <v>1660</v>
      </c>
      <c r="G41" s="36">
        <v>369</v>
      </c>
      <c r="H41" s="36">
        <f>SUM(B41-E41)</f>
        <v>119</v>
      </c>
      <c r="I41" s="27"/>
      <c r="J41" s="39"/>
    </row>
    <row r="42" spans="1:10" ht="12.75">
      <c r="A42" s="29" t="s">
        <v>16</v>
      </c>
      <c r="B42" s="36">
        <v>4659</v>
      </c>
      <c r="C42" s="36">
        <v>3744</v>
      </c>
      <c r="D42" s="36">
        <v>915</v>
      </c>
      <c r="E42" s="36">
        <v>4624</v>
      </c>
      <c r="F42" s="36">
        <v>3726</v>
      </c>
      <c r="G42" s="36">
        <v>898</v>
      </c>
      <c r="H42" s="36">
        <f>SUM(B42-E42)</f>
        <v>35</v>
      </c>
      <c r="I42" s="27"/>
      <c r="J42" s="39"/>
    </row>
    <row r="43" spans="1:10" ht="12.75">
      <c r="A43" s="29" t="s">
        <v>17</v>
      </c>
      <c r="B43" s="36">
        <v>3709</v>
      </c>
      <c r="C43" s="36">
        <v>2978</v>
      </c>
      <c r="D43" s="36">
        <v>731</v>
      </c>
      <c r="E43" s="36">
        <v>3364</v>
      </c>
      <c r="F43" s="36">
        <v>2780</v>
      </c>
      <c r="G43" s="36">
        <v>584</v>
      </c>
      <c r="H43" s="36">
        <f>SUM(B43-E43)</f>
        <v>345</v>
      </c>
      <c r="I43" s="27"/>
      <c r="J43" s="39"/>
    </row>
    <row r="44" spans="1:10" ht="12.75">
      <c r="A44" s="29"/>
      <c r="B44" s="36"/>
      <c r="C44" s="36"/>
      <c r="D44" s="36"/>
      <c r="E44" s="36"/>
      <c r="F44" s="36"/>
      <c r="G44" s="36"/>
      <c r="H44" s="36"/>
      <c r="I44" s="27"/>
      <c r="J44" s="39"/>
    </row>
    <row r="45" spans="1:10" ht="12.75">
      <c r="A45" s="29" t="s">
        <v>18</v>
      </c>
      <c r="B45" s="36">
        <v>4045</v>
      </c>
      <c r="C45" s="36">
        <v>2354</v>
      </c>
      <c r="D45" s="36">
        <v>1691</v>
      </c>
      <c r="E45" s="36">
        <v>3949</v>
      </c>
      <c r="F45" s="36">
        <v>2530</v>
      </c>
      <c r="G45" s="36">
        <v>1419</v>
      </c>
      <c r="H45" s="36">
        <f>SUM(B45-E45)</f>
        <v>96</v>
      </c>
      <c r="I45" s="27"/>
      <c r="J45" s="39"/>
    </row>
    <row r="46" spans="1:10" ht="12.75">
      <c r="A46" s="29" t="s">
        <v>19</v>
      </c>
      <c r="B46" s="36">
        <v>2134</v>
      </c>
      <c r="C46" s="36">
        <v>1620</v>
      </c>
      <c r="D46" s="36">
        <v>514</v>
      </c>
      <c r="E46" s="36">
        <v>2041</v>
      </c>
      <c r="F46" s="36">
        <v>1606</v>
      </c>
      <c r="G46" s="36">
        <v>435</v>
      </c>
      <c r="H46" s="36">
        <f>SUM(B46-E46)</f>
        <v>93</v>
      </c>
      <c r="I46" s="27"/>
      <c r="J46" s="39"/>
    </row>
    <row r="47" spans="1:10" ht="12.75">
      <c r="A47" s="29" t="s">
        <v>20</v>
      </c>
      <c r="B47" s="36">
        <v>3700</v>
      </c>
      <c r="C47" s="36">
        <v>1878</v>
      </c>
      <c r="D47" s="36">
        <v>1822</v>
      </c>
      <c r="E47" s="36">
        <v>3327</v>
      </c>
      <c r="F47" s="36">
        <v>1908</v>
      </c>
      <c r="G47" s="36">
        <v>1419</v>
      </c>
      <c r="H47" s="36">
        <f>SUM(B47-E47)</f>
        <v>373</v>
      </c>
      <c r="I47" s="27"/>
      <c r="J47" s="39"/>
    </row>
    <row r="48" spans="1:10" ht="12.75">
      <c r="A48" s="29"/>
      <c r="B48" s="36"/>
      <c r="C48" s="36"/>
      <c r="D48" s="36"/>
      <c r="E48" s="36"/>
      <c r="F48" s="36"/>
      <c r="G48" s="36"/>
      <c r="H48" s="36"/>
      <c r="I48" s="20"/>
      <c r="J48" s="39"/>
    </row>
    <row r="49" spans="1:10" ht="12.75">
      <c r="A49" s="29" t="s">
        <v>65</v>
      </c>
      <c r="B49" s="36">
        <f aca="true" t="shared" si="5" ref="B49:G49">B35+B36+B37+B38+B40+B41+B42+B43+B45+B46+B47</f>
        <v>37426</v>
      </c>
      <c r="C49" s="36">
        <f t="shared" si="5"/>
        <v>24707</v>
      </c>
      <c r="D49" s="36">
        <f t="shared" si="5"/>
        <v>12719</v>
      </c>
      <c r="E49" s="36">
        <f t="shared" si="5"/>
        <v>34586</v>
      </c>
      <c r="F49" s="36">
        <f t="shared" si="5"/>
        <v>24604</v>
      </c>
      <c r="G49" s="36">
        <f t="shared" si="5"/>
        <v>9982</v>
      </c>
      <c r="H49" s="36">
        <f>SUM(B49-E49)</f>
        <v>2840</v>
      </c>
      <c r="I49" s="24"/>
      <c r="J49" s="39"/>
    </row>
    <row r="50" spans="1:10" ht="12" customHeight="1">
      <c r="A50" s="29"/>
      <c r="B50" s="36"/>
      <c r="C50" s="36"/>
      <c r="D50" s="36"/>
      <c r="E50" s="36"/>
      <c r="F50" s="36"/>
      <c r="G50" s="36"/>
      <c r="H50" s="36"/>
      <c r="I50" s="43"/>
      <c r="J50" s="39"/>
    </row>
    <row r="51" spans="1:10" s="7" customFormat="1" ht="12.75">
      <c r="A51" s="30" t="s">
        <v>4</v>
      </c>
      <c r="B51" s="38">
        <f>B33+B49</f>
        <v>45982</v>
      </c>
      <c r="C51" s="38">
        <f>C33+C49</f>
        <v>28831</v>
      </c>
      <c r="D51" s="38">
        <f>D33+D49</f>
        <v>17151</v>
      </c>
      <c r="E51" s="38">
        <v>44988</v>
      </c>
      <c r="F51" s="38">
        <f>F33+F49</f>
        <v>28831</v>
      </c>
      <c r="G51" s="38">
        <v>16157</v>
      </c>
      <c r="H51" s="38">
        <f>SUM(B51-E51)</f>
        <v>994</v>
      </c>
      <c r="I51" s="25"/>
      <c r="J51" s="41"/>
    </row>
    <row r="52" spans="1:10" ht="9" customHeight="1">
      <c r="A52" s="5"/>
      <c r="B52" s="5"/>
      <c r="C52" s="5"/>
      <c r="D52" s="5"/>
      <c r="E52" s="5"/>
      <c r="F52" s="5"/>
      <c r="G52" s="5"/>
      <c r="H52" s="5"/>
      <c r="I52" s="39"/>
      <c r="J52" s="39"/>
    </row>
    <row r="53" spans="1:8" ht="13.5">
      <c r="A53" s="54"/>
      <c r="B53" s="5"/>
      <c r="C53" s="5"/>
      <c r="D53" s="5"/>
      <c r="E53" s="5"/>
      <c r="F53" s="5"/>
      <c r="G53" s="5"/>
      <c r="H53" s="5"/>
    </row>
    <row r="54" ht="12.75">
      <c r="A54" s="62" t="s">
        <v>78</v>
      </c>
    </row>
    <row r="55" ht="12.75">
      <c r="A55" s="61" t="s">
        <v>75</v>
      </c>
    </row>
  </sheetData>
  <mergeCells count="7">
    <mergeCell ref="A26:H26"/>
    <mergeCell ref="A1:H1"/>
    <mergeCell ref="A3:A4"/>
    <mergeCell ref="B3:D3"/>
    <mergeCell ref="E3:G3"/>
    <mergeCell ref="A6:H6"/>
    <mergeCell ref="A24:M24"/>
  </mergeCells>
  <printOptions horizontalCentered="1"/>
  <pageMargins left="0.1968503937007874" right="0.1968503937007874" top="0.7874015748031497" bottom="0.19" header="0.5118110236220472" footer="0.3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showGridLines="0" workbookViewId="0" topLeftCell="A13">
      <selection activeCell="E3" sqref="E3"/>
    </sheetView>
  </sheetViews>
  <sheetFormatPr defaultColWidth="11.421875" defaultRowHeight="12.75"/>
  <cols>
    <col min="1" max="1" width="21.140625" style="0" customWidth="1"/>
    <col min="2" max="6" width="6.7109375" style="0" customWidth="1"/>
    <col min="7" max="7" width="6.28125" style="0" customWidth="1"/>
    <col min="8" max="12" width="6.7109375" style="0" customWidth="1"/>
    <col min="13" max="13" width="6.28125" style="0" customWidth="1"/>
  </cols>
  <sheetData>
    <row r="1" spans="1:13" ht="11.25" customHeight="1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ht="12.75" customHeight="1"/>
    <row r="3" ht="12.75" customHeight="1"/>
    <row r="4" ht="12.75" customHeight="1"/>
    <row r="5" ht="12.75" customHeight="1">
      <c r="A5" s="1"/>
    </row>
    <row r="6" spans="1:13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>
      <c r="A7" s="105" t="s">
        <v>73</v>
      </c>
      <c r="B7" s="109" t="s">
        <v>21</v>
      </c>
      <c r="C7" s="109"/>
      <c r="D7" s="109"/>
      <c r="E7" s="109"/>
      <c r="F7" s="109"/>
      <c r="G7" s="110"/>
      <c r="H7" s="116" t="s">
        <v>22</v>
      </c>
      <c r="I7" s="109"/>
      <c r="J7" s="109"/>
      <c r="K7" s="109"/>
      <c r="L7" s="109"/>
      <c r="M7" s="109"/>
    </row>
    <row r="8" spans="1:13" ht="13.5">
      <c r="A8" s="117"/>
      <c r="B8" s="109" t="s">
        <v>34</v>
      </c>
      <c r="C8" s="109"/>
      <c r="D8" s="110"/>
      <c r="E8" s="111" t="s">
        <v>1</v>
      </c>
      <c r="F8" s="112"/>
      <c r="G8" s="112"/>
      <c r="H8" s="113" t="s">
        <v>34</v>
      </c>
      <c r="I8" s="114"/>
      <c r="J8" s="115"/>
      <c r="K8" s="116" t="s">
        <v>1</v>
      </c>
      <c r="L8" s="109"/>
      <c r="M8" s="109"/>
    </row>
    <row r="9" spans="1:13" ht="12.75">
      <c r="A9" s="106"/>
      <c r="B9" s="17" t="s">
        <v>31</v>
      </c>
      <c r="C9" s="18" t="s">
        <v>32</v>
      </c>
      <c r="D9" s="16" t="s">
        <v>33</v>
      </c>
      <c r="E9" s="18" t="s">
        <v>31</v>
      </c>
      <c r="F9" s="18" t="s">
        <v>32</v>
      </c>
      <c r="G9" s="18" t="s">
        <v>33</v>
      </c>
      <c r="H9" s="18" t="s">
        <v>31</v>
      </c>
      <c r="I9" s="18" t="s">
        <v>32</v>
      </c>
      <c r="J9" s="18" t="s">
        <v>33</v>
      </c>
      <c r="K9" s="19" t="s">
        <v>31</v>
      </c>
      <c r="L9" s="19" t="s">
        <v>32</v>
      </c>
      <c r="M9" s="15" t="s">
        <v>33</v>
      </c>
    </row>
    <row r="10" spans="1:13" ht="12.7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2.75">
      <c r="A11" s="89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2.75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29" t="s">
        <v>24</v>
      </c>
      <c r="B13" s="55">
        <f>E13+1473</f>
        <v>2562</v>
      </c>
      <c r="C13" s="55">
        <f>F13+1455</f>
        <v>2498</v>
      </c>
      <c r="D13" s="55">
        <f>G13+1571</f>
        <v>2755</v>
      </c>
      <c r="E13" s="55">
        <v>1089</v>
      </c>
      <c r="F13" s="55">
        <v>1043</v>
      </c>
      <c r="G13" s="55">
        <v>1184</v>
      </c>
      <c r="H13" s="55">
        <f>K13+1596</f>
        <v>2378</v>
      </c>
      <c r="I13" s="55">
        <f>L13+1358</f>
        <v>2091</v>
      </c>
      <c r="J13" s="55">
        <f>M13+1593</f>
        <v>2578</v>
      </c>
      <c r="K13" s="55">
        <v>782</v>
      </c>
      <c r="L13" s="55">
        <v>733</v>
      </c>
      <c r="M13" s="55">
        <v>985</v>
      </c>
    </row>
    <row r="14" spans="1:13" ht="12.75">
      <c r="A14" s="29"/>
      <c r="B14" s="29"/>
      <c r="C14" s="29"/>
      <c r="D14" s="29"/>
      <c r="E14" s="60"/>
      <c r="F14" s="60"/>
      <c r="G14" s="60"/>
      <c r="H14" s="29"/>
      <c r="I14" s="29"/>
      <c r="J14" s="29"/>
      <c r="K14" s="29"/>
      <c r="L14" s="29"/>
      <c r="M14" s="29"/>
    </row>
    <row r="15" spans="1:13" ht="12.75">
      <c r="A15" s="29" t="s">
        <v>25</v>
      </c>
      <c r="B15" s="55">
        <f>E15+1399</f>
        <v>2628</v>
      </c>
      <c r="C15" s="55">
        <f>F15+1475</f>
        <v>2287</v>
      </c>
      <c r="D15" s="55">
        <f>G15+1471</f>
        <v>2868</v>
      </c>
      <c r="E15" s="55">
        <v>1229</v>
      </c>
      <c r="F15" s="55">
        <v>812</v>
      </c>
      <c r="G15" s="55">
        <v>1397</v>
      </c>
      <c r="H15" s="55">
        <f>K15+1451</f>
        <v>2243</v>
      </c>
      <c r="I15" s="55">
        <f>L15+1432</f>
        <v>2258</v>
      </c>
      <c r="J15" s="55">
        <f>M15+1441</f>
        <v>2821</v>
      </c>
      <c r="K15" s="55">
        <v>792</v>
      </c>
      <c r="L15" s="55">
        <v>826</v>
      </c>
      <c r="M15" s="55">
        <v>1380</v>
      </c>
    </row>
    <row r="16" spans="1:13" ht="12.75">
      <c r="A16" s="2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2.75">
      <c r="A17" s="29" t="s">
        <v>26</v>
      </c>
      <c r="B17" s="55">
        <f>E17+1521</f>
        <v>2608</v>
      </c>
      <c r="C17" s="55">
        <f>F17+1388</f>
        <v>2399</v>
      </c>
      <c r="D17" s="55">
        <f>G17+1500</f>
        <v>2615</v>
      </c>
      <c r="E17" s="55">
        <v>1087</v>
      </c>
      <c r="F17" s="55">
        <v>1011</v>
      </c>
      <c r="G17" s="55">
        <v>1115</v>
      </c>
      <c r="H17" s="55">
        <f>K17+1484</f>
        <v>2164</v>
      </c>
      <c r="I17" s="55">
        <f>L17+1430</f>
        <v>2148</v>
      </c>
      <c r="J17" s="55">
        <f>M17+1562</f>
        <v>2458</v>
      </c>
      <c r="K17" s="55">
        <v>680</v>
      </c>
      <c r="L17" s="55">
        <v>718</v>
      </c>
      <c r="M17" s="55">
        <v>896</v>
      </c>
    </row>
    <row r="18" spans="1:13" ht="12.75">
      <c r="A18" s="29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.75">
      <c r="A19" s="29" t="s">
        <v>27</v>
      </c>
      <c r="B19" s="55">
        <f>E19+1851</f>
        <v>3252</v>
      </c>
      <c r="C19" s="55">
        <f>F19+1754</f>
        <v>3091</v>
      </c>
      <c r="D19" s="55">
        <f>G19+2005</f>
        <v>3594</v>
      </c>
      <c r="E19" s="55">
        <v>1401</v>
      </c>
      <c r="F19" s="55">
        <v>1337</v>
      </c>
      <c r="G19" s="55">
        <v>1589</v>
      </c>
      <c r="H19" s="55">
        <f>K19+1847</f>
        <v>2720</v>
      </c>
      <c r="I19" s="55">
        <f>L19+1793</f>
        <v>2623</v>
      </c>
      <c r="J19" s="55">
        <f>M19+1966</f>
        <v>3127</v>
      </c>
      <c r="K19" s="55">
        <v>873</v>
      </c>
      <c r="L19" s="55">
        <v>830</v>
      </c>
      <c r="M19" s="55">
        <v>1161</v>
      </c>
    </row>
    <row r="20" spans="1:13" ht="12.75">
      <c r="A20" s="29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2.75">
      <c r="A21" s="29" t="s">
        <v>28</v>
      </c>
      <c r="B21" s="55">
        <f>E21+1824</f>
        <v>2970</v>
      </c>
      <c r="C21" s="55">
        <f>F21+1643</f>
        <v>2737</v>
      </c>
      <c r="D21" s="55">
        <f>G21+2048</f>
        <v>3244</v>
      </c>
      <c r="E21" s="55">
        <v>1146</v>
      </c>
      <c r="F21" s="55">
        <v>1094</v>
      </c>
      <c r="G21" s="55">
        <v>1196</v>
      </c>
      <c r="H21" s="55">
        <f>K21+1770</f>
        <v>2751</v>
      </c>
      <c r="I21" s="55">
        <f>L21+1773</f>
        <v>2570</v>
      </c>
      <c r="J21" s="55">
        <f>M21+2184</f>
        <v>3248</v>
      </c>
      <c r="K21" s="55">
        <v>981</v>
      </c>
      <c r="L21" s="55">
        <v>797</v>
      </c>
      <c r="M21" s="55">
        <v>1064</v>
      </c>
    </row>
    <row r="22" spans="1:13" ht="12.75">
      <c r="A22" s="29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2.75">
      <c r="A23" s="29" t="s">
        <v>29</v>
      </c>
      <c r="B23" s="55">
        <f>E23+554</f>
        <v>922</v>
      </c>
      <c r="C23" s="55">
        <f>F23+500</f>
        <v>845</v>
      </c>
      <c r="D23" s="55">
        <f>G23+555</f>
        <v>981</v>
      </c>
      <c r="E23" s="55">
        <v>368</v>
      </c>
      <c r="F23" s="55">
        <v>345</v>
      </c>
      <c r="G23" s="55">
        <v>426</v>
      </c>
      <c r="H23" s="55">
        <f>K23+527</f>
        <v>889</v>
      </c>
      <c r="I23" s="55">
        <f>L23+436</f>
        <v>675</v>
      </c>
      <c r="J23" s="55">
        <f>M23+514</f>
        <v>809</v>
      </c>
      <c r="K23" s="55">
        <v>362</v>
      </c>
      <c r="L23" s="55">
        <v>239</v>
      </c>
      <c r="M23" s="55">
        <v>295</v>
      </c>
    </row>
    <row r="24" spans="1:13" ht="12.75">
      <c r="A24" s="2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2.75">
      <c r="A25" s="29" t="s">
        <v>30</v>
      </c>
      <c r="B25" s="55">
        <f>E25+982</f>
        <v>1705</v>
      </c>
      <c r="C25" s="55">
        <f>F25+967</f>
        <v>1689</v>
      </c>
      <c r="D25" s="55">
        <f>G25+1135</f>
        <v>2027</v>
      </c>
      <c r="E25" s="55">
        <v>723</v>
      </c>
      <c r="F25" s="55">
        <v>722</v>
      </c>
      <c r="G25" s="55">
        <v>892</v>
      </c>
      <c r="H25" s="55">
        <f>K25+929</f>
        <v>1580</v>
      </c>
      <c r="I25" s="55">
        <f>L25+960</f>
        <v>1590</v>
      </c>
      <c r="J25" s="55">
        <f>M25+1025</f>
        <v>1952</v>
      </c>
      <c r="K25" s="55">
        <v>651</v>
      </c>
      <c r="L25" s="55">
        <v>630</v>
      </c>
      <c r="M25" s="55">
        <v>927</v>
      </c>
    </row>
    <row r="26" spans="1:13" ht="12.75">
      <c r="A26" s="29"/>
      <c r="B26" s="29"/>
      <c r="C26" s="29"/>
      <c r="D26" s="29"/>
      <c r="E26" s="60"/>
      <c r="F26" s="60"/>
      <c r="G26" s="60"/>
      <c r="H26" s="29"/>
      <c r="I26" s="29"/>
      <c r="J26" s="29"/>
      <c r="K26" s="29"/>
      <c r="L26" s="29"/>
      <c r="M26" s="29"/>
    </row>
    <row r="27" spans="1:13" ht="12.75">
      <c r="A27" s="30" t="s">
        <v>0</v>
      </c>
      <c r="B27" s="65">
        <f>SUM(B13:B26)</f>
        <v>16647</v>
      </c>
      <c r="C27" s="65">
        <f>SUM(C13:C26)</f>
        <v>15546</v>
      </c>
      <c r="D27" s="65">
        <f aca="true" t="shared" si="0" ref="D27:M27">SUM(D13:D25)</f>
        <v>18084</v>
      </c>
      <c r="E27" s="65">
        <f t="shared" si="0"/>
        <v>7043</v>
      </c>
      <c r="F27" s="65">
        <f t="shared" si="0"/>
        <v>6364</v>
      </c>
      <c r="G27" s="65">
        <f t="shared" si="0"/>
        <v>7799</v>
      </c>
      <c r="H27" s="65">
        <f t="shared" si="0"/>
        <v>14725</v>
      </c>
      <c r="I27" s="65">
        <f t="shared" si="0"/>
        <v>13955</v>
      </c>
      <c r="J27" s="65">
        <f t="shared" si="0"/>
        <v>16993</v>
      </c>
      <c r="K27" s="65">
        <f t="shared" si="0"/>
        <v>5121</v>
      </c>
      <c r="L27" s="65">
        <f t="shared" si="0"/>
        <v>4773</v>
      </c>
      <c r="M27" s="65">
        <f t="shared" si="0"/>
        <v>6708</v>
      </c>
    </row>
    <row r="28" ht="13.5">
      <c r="A28" s="54"/>
    </row>
    <row r="29" spans="1:13" ht="12.75" customHeight="1">
      <c r="A29" s="88" t="s">
        <v>81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ht="12.75" customHeight="1"/>
    <row r="31" spans="1:13" ht="12.75" customHeight="1">
      <c r="A31" s="90" t="s">
        <v>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29" t="s">
        <v>61</v>
      </c>
      <c r="B33" s="55">
        <v>475</v>
      </c>
      <c r="C33" s="55">
        <v>455</v>
      </c>
      <c r="D33" s="55">
        <v>611</v>
      </c>
      <c r="E33" s="55">
        <v>232</v>
      </c>
      <c r="F33" s="55">
        <v>227</v>
      </c>
      <c r="G33" s="55">
        <v>308</v>
      </c>
      <c r="H33" s="55">
        <v>392</v>
      </c>
      <c r="I33" s="55">
        <v>432</v>
      </c>
      <c r="J33" s="55">
        <v>466</v>
      </c>
      <c r="K33" s="55">
        <v>170</v>
      </c>
      <c r="L33" s="55">
        <v>195</v>
      </c>
      <c r="M33" s="55">
        <v>153</v>
      </c>
    </row>
    <row r="34" spans="1:13" ht="12.75">
      <c r="A34" s="29" t="s">
        <v>62</v>
      </c>
      <c r="B34" s="55">
        <v>1107</v>
      </c>
      <c r="C34" s="55">
        <v>1023</v>
      </c>
      <c r="D34" s="55">
        <v>1307</v>
      </c>
      <c r="E34" s="55">
        <v>575</v>
      </c>
      <c r="F34" s="55">
        <v>474</v>
      </c>
      <c r="G34" s="55">
        <v>652</v>
      </c>
      <c r="H34" s="55">
        <v>1117</v>
      </c>
      <c r="I34" s="55">
        <v>1146</v>
      </c>
      <c r="J34" s="55">
        <v>1218</v>
      </c>
      <c r="K34" s="55">
        <v>590</v>
      </c>
      <c r="L34" s="55">
        <v>647</v>
      </c>
      <c r="M34" s="55">
        <v>570</v>
      </c>
    </row>
    <row r="35" spans="1:13" ht="12.75">
      <c r="A35" s="29" t="s">
        <v>63</v>
      </c>
      <c r="B35" s="55">
        <v>1032</v>
      </c>
      <c r="C35" s="55">
        <v>548</v>
      </c>
      <c r="D35" s="55">
        <v>1044</v>
      </c>
      <c r="E35" s="55">
        <v>681</v>
      </c>
      <c r="F35" s="55">
        <v>345</v>
      </c>
      <c r="G35" s="55">
        <v>652</v>
      </c>
      <c r="H35" s="55">
        <v>908</v>
      </c>
      <c r="I35" s="55">
        <v>800</v>
      </c>
      <c r="J35" s="55">
        <v>1011</v>
      </c>
      <c r="K35" s="55">
        <v>499</v>
      </c>
      <c r="L35" s="55">
        <v>426</v>
      </c>
      <c r="M35" s="55">
        <v>570</v>
      </c>
    </row>
    <row r="36" spans="1:13" ht="12.75">
      <c r="A36" s="29" t="s">
        <v>64</v>
      </c>
      <c r="B36" s="55">
        <v>371</v>
      </c>
      <c r="C36" s="55">
        <v>236</v>
      </c>
      <c r="D36" s="55">
        <v>347</v>
      </c>
      <c r="E36" s="55">
        <v>118</v>
      </c>
      <c r="F36" s="55">
        <v>62</v>
      </c>
      <c r="G36" s="55">
        <v>106</v>
      </c>
      <c r="H36" s="55">
        <v>303</v>
      </c>
      <c r="I36" s="55">
        <v>265</v>
      </c>
      <c r="J36" s="55">
        <v>355</v>
      </c>
      <c r="K36" s="55">
        <v>94</v>
      </c>
      <c r="L36" s="55">
        <v>110</v>
      </c>
      <c r="M36" s="55">
        <v>162</v>
      </c>
    </row>
    <row r="37" spans="1:13" ht="12.75">
      <c r="A37" s="29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2.75">
      <c r="A38" s="29" t="s">
        <v>66</v>
      </c>
      <c r="B38" s="55">
        <f>SUM(B33:B37)</f>
        <v>2985</v>
      </c>
      <c r="C38" s="55">
        <f aca="true" t="shared" si="1" ref="C38:M38">SUM(C33:C37)</f>
        <v>2262</v>
      </c>
      <c r="D38" s="55">
        <f t="shared" si="1"/>
        <v>3309</v>
      </c>
      <c r="E38" s="55">
        <f t="shared" si="1"/>
        <v>1606</v>
      </c>
      <c r="F38" s="55">
        <f t="shared" si="1"/>
        <v>1108</v>
      </c>
      <c r="G38" s="55">
        <f t="shared" si="1"/>
        <v>1718</v>
      </c>
      <c r="H38" s="55">
        <f t="shared" si="1"/>
        <v>2720</v>
      </c>
      <c r="I38" s="55">
        <f t="shared" si="1"/>
        <v>2643</v>
      </c>
      <c r="J38" s="55">
        <f t="shared" si="1"/>
        <v>3050</v>
      </c>
      <c r="K38" s="55">
        <f t="shared" si="1"/>
        <v>1353</v>
      </c>
      <c r="L38" s="55">
        <f t="shared" si="1"/>
        <v>1378</v>
      </c>
      <c r="M38" s="55">
        <f t="shared" si="1"/>
        <v>1455</v>
      </c>
    </row>
    <row r="39" spans="1:13" ht="12.75">
      <c r="A39" s="29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2.75">
      <c r="A40" s="29" t="s">
        <v>10</v>
      </c>
      <c r="B40" s="55">
        <v>755</v>
      </c>
      <c r="C40" s="55">
        <v>699</v>
      </c>
      <c r="D40" s="55">
        <v>860</v>
      </c>
      <c r="E40" s="55">
        <v>209</v>
      </c>
      <c r="F40" s="55">
        <v>179</v>
      </c>
      <c r="G40" s="55">
        <v>256</v>
      </c>
      <c r="H40" s="55">
        <v>746</v>
      </c>
      <c r="I40" s="55">
        <v>697</v>
      </c>
      <c r="J40" s="55">
        <v>718</v>
      </c>
      <c r="K40" s="55">
        <v>163</v>
      </c>
      <c r="L40" s="55">
        <v>165</v>
      </c>
      <c r="M40" s="55">
        <v>121</v>
      </c>
    </row>
    <row r="41" spans="1:13" ht="12.75">
      <c r="A41" s="29" t="s">
        <v>11</v>
      </c>
      <c r="B41" s="55">
        <v>1148</v>
      </c>
      <c r="C41" s="55">
        <v>942</v>
      </c>
      <c r="D41" s="55">
        <v>1097</v>
      </c>
      <c r="E41" s="55">
        <v>511</v>
      </c>
      <c r="F41" s="55">
        <v>428</v>
      </c>
      <c r="G41" s="55">
        <v>536</v>
      </c>
      <c r="H41" s="55">
        <v>1021</v>
      </c>
      <c r="I41" s="55">
        <v>921</v>
      </c>
      <c r="J41" s="55">
        <v>839</v>
      </c>
      <c r="K41" s="55">
        <v>431</v>
      </c>
      <c r="L41" s="55">
        <v>432</v>
      </c>
      <c r="M41" s="55">
        <v>262</v>
      </c>
    </row>
    <row r="42" spans="1:13" ht="12.75">
      <c r="A42" s="29" t="s">
        <v>12</v>
      </c>
      <c r="B42" s="55">
        <v>1008</v>
      </c>
      <c r="C42" s="55">
        <v>1015</v>
      </c>
      <c r="D42" s="55">
        <v>1168</v>
      </c>
      <c r="E42" s="55">
        <v>268</v>
      </c>
      <c r="F42" s="55">
        <v>321</v>
      </c>
      <c r="G42" s="55">
        <v>354</v>
      </c>
      <c r="H42" s="55">
        <v>1021</v>
      </c>
      <c r="I42" s="55">
        <v>982</v>
      </c>
      <c r="J42" s="55">
        <v>1067</v>
      </c>
      <c r="K42" s="55">
        <v>293</v>
      </c>
      <c r="L42" s="55">
        <v>278</v>
      </c>
      <c r="M42" s="55">
        <v>240</v>
      </c>
    </row>
    <row r="43" spans="1:13" ht="12.75">
      <c r="A43" s="29" t="s">
        <v>13</v>
      </c>
      <c r="B43" s="55">
        <v>1163</v>
      </c>
      <c r="C43" s="55">
        <v>1019</v>
      </c>
      <c r="D43" s="55">
        <v>1368</v>
      </c>
      <c r="E43" s="55">
        <v>384</v>
      </c>
      <c r="F43" s="55">
        <v>309</v>
      </c>
      <c r="G43" s="55">
        <v>458</v>
      </c>
      <c r="H43" s="55">
        <v>1114</v>
      </c>
      <c r="I43" s="55">
        <v>910</v>
      </c>
      <c r="J43" s="55">
        <v>1098</v>
      </c>
      <c r="K43" s="55">
        <v>325</v>
      </c>
      <c r="L43" s="55">
        <v>298</v>
      </c>
      <c r="M43" s="55">
        <v>232</v>
      </c>
    </row>
    <row r="44" spans="1:13" ht="12.75">
      <c r="A44" s="29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2.75">
      <c r="A45" s="29" t="s">
        <v>14</v>
      </c>
      <c r="B45" s="55">
        <v>1603</v>
      </c>
      <c r="C45" s="55">
        <v>1466</v>
      </c>
      <c r="D45" s="55">
        <v>1720</v>
      </c>
      <c r="E45" s="55">
        <v>764</v>
      </c>
      <c r="F45" s="55">
        <v>739</v>
      </c>
      <c r="G45" s="55">
        <v>858</v>
      </c>
      <c r="H45" s="55">
        <v>1526</v>
      </c>
      <c r="I45" s="55">
        <v>1353</v>
      </c>
      <c r="J45" s="55">
        <v>1239</v>
      </c>
      <c r="K45" s="55">
        <v>690</v>
      </c>
      <c r="L45" s="55">
        <v>573</v>
      </c>
      <c r="M45" s="55">
        <v>355</v>
      </c>
    </row>
    <row r="46" spans="1:13" ht="12.75">
      <c r="A46" s="29" t="s">
        <v>15</v>
      </c>
      <c r="B46" s="55">
        <v>720</v>
      </c>
      <c r="C46" s="55">
        <v>712</v>
      </c>
      <c r="D46" s="55">
        <v>716</v>
      </c>
      <c r="E46" s="55">
        <v>169</v>
      </c>
      <c r="F46" s="55">
        <v>150</v>
      </c>
      <c r="G46" s="55">
        <v>153</v>
      </c>
      <c r="H46" s="55">
        <v>649</v>
      </c>
      <c r="I46" s="55">
        <v>686</v>
      </c>
      <c r="J46" s="55">
        <v>694</v>
      </c>
      <c r="K46" s="55">
        <v>120</v>
      </c>
      <c r="L46" s="55">
        <v>130</v>
      </c>
      <c r="M46" s="55">
        <v>119</v>
      </c>
    </row>
    <row r="47" spans="1:13" ht="12.75">
      <c r="A47" s="29" t="s">
        <v>16</v>
      </c>
      <c r="B47" s="55">
        <v>1534</v>
      </c>
      <c r="C47" s="55">
        <v>1456</v>
      </c>
      <c r="D47" s="55">
        <v>1669</v>
      </c>
      <c r="E47" s="55">
        <v>291</v>
      </c>
      <c r="F47" s="55">
        <v>285</v>
      </c>
      <c r="G47" s="55">
        <v>339</v>
      </c>
      <c r="H47" s="55">
        <v>1533</v>
      </c>
      <c r="I47" s="55">
        <v>1473</v>
      </c>
      <c r="J47" s="55">
        <v>1618</v>
      </c>
      <c r="K47" s="55">
        <v>319</v>
      </c>
      <c r="L47" s="55">
        <v>269</v>
      </c>
      <c r="M47" s="55">
        <v>310</v>
      </c>
    </row>
    <row r="48" spans="1:13" ht="12.75">
      <c r="A48" s="29" t="s">
        <v>17</v>
      </c>
      <c r="B48" s="55">
        <v>1182</v>
      </c>
      <c r="C48" s="55">
        <v>1236</v>
      </c>
      <c r="D48" s="55">
        <v>1291</v>
      </c>
      <c r="E48" s="55">
        <v>238</v>
      </c>
      <c r="F48" s="55">
        <v>236</v>
      </c>
      <c r="G48" s="55">
        <v>257</v>
      </c>
      <c r="H48" s="55">
        <v>1134</v>
      </c>
      <c r="I48" s="55">
        <v>1080</v>
      </c>
      <c r="J48" s="55">
        <v>1150</v>
      </c>
      <c r="K48" s="55">
        <v>213</v>
      </c>
      <c r="L48" s="55">
        <v>202</v>
      </c>
      <c r="M48" s="55">
        <v>169</v>
      </c>
    </row>
    <row r="49" spans="1:13" ht="12.75">
      <c r="A49" s="29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12.75">
      <c r="A50" s="29" t="s">
        <v>18</v>
      </c>
      <c r="B50" s="55">
        <v>1374</v>
      </c>
      <c r="C50" s="55">
        <v>1251</v>
      </c>
      <c r="D50" s="55">
        <v>1420</v>
      </c>
      <c r="E50" s="55">
        <v>557</v>
      </c>
      <c r="F50" s="55">
        <v>536</v>
      </c>
      <c r="G50" s="55">
        <v>598</v>
      </c>
      <c r="H50" s="55">
        <v>1442</v>
      </c>
      <c r="I50" s="55">
        <v>1295</v>
      </c>
      <c r="J50" s="55">
        <v>1212</v>
      </c>
      <c r="K50" s="55">
        <v>585</v>
      </c>
      <c r="L50" s="55">
        <v>539</v>
      </c>
      <c r="M50" s="55">
        <v>295</v>
      </c>
    </row>
    <row r="51" spans="1:13" ht="12.75">
      <c r="A51" s="29" t="s">
        <v>19</v>
      </c>
      <c r="B51" s="55">
        <v>717</v>
      </c>
      <c r="C51" s="55">
        <v>647</v>
      </c>
      <c r="D51" s="55">
        <v>770</v>
      </c>
      <c r="E51" s="55">
        <v>179</v>
      </c>
      <c r="F51" s="55">
        <v>167</v>
      </c>
      <c r="G51" s="55">
        <v>168</v>
      </c>
      <c r="H51" s="55">
        <v>730</v>
      </c>
      <c r="I51" s="55">
        <v>631</v>
      </c>
      <c r="J51" s="55">
        <v>680</v>
      </c>
      <c r="K51" s="55">
        <v>162</v>
      </c>
      <c r="L51" s="55">
        <v>161</v>
      </c>
      <c r="M51" s="55">
        <v>112</v>
      </c>
    </row>
    <row r="52" spans="1:13" ht="12.75">
      <c r="A52" s="29" t="s">
        <v>20</v>
      </c>
      <c r="B52" s="55">
        <v>1222</v>
      </c>
      <c r="C52" s="55">
        <v>1179</v>
      </c>
      <c r="D52" s="55">
        <v>1299</v>
      </c>
      <c r="E52" s="55">
        <v>577</v>
      </c>
      <c r="F52" s="55">
        <v>568</v>
      </c>
      <c r="G52" s="55">
        <v>677</v>
      </c>
      <c r="H52" s="55">
        <v>1292</v>
      </c>
      <c r="I52" s="55">
        <v>1164</v>
      </c>
      <c r="J52" s="55">
        <v>871</v>
      </c>
      <c r="K52" s="55">
        <v>616</v>
      </c>
      <c r="L52" s="55">
        <v>552</v>
      </c>
      <c r="M52" s="55">
        <v>251</v>
      </c>
    </row>
    <row r="53" spans="1:13" ht="12.75">
      <c r="A53" s="2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2.75">
      <c r="A54" s="29" t="s">
        <v>65</v>
      </c>
      <c r="B54" s="55">
        <f>SUM(B40:B53)</f>
        <v>12426</v>
      </c>
      <c r="C54" s="55">
        <f aca="true" t="shared" si="2" ref="C54:M54">SUM(C40:C53)</f>
        <v>11622</v>
      </c>
      <c r="D54" s="55">
        <f t="shared" si="2"/>
        <v>13378</v>
      </c>
      <c r="E54" s="55">
        <f t="shared" si="2"/>
        <v>4147</v>
      </c>
      <c r="F54" s="55">
        <f t="shared" si="2"/>
        <v>3918</v>
      </c>
      <c r="G54" s="55">
        <f t="shared" si="2"/>
        <v>4654</v>
      </c>
      <c r="H54" s="55">
        <f t="shared" si="2"/>
        <v>12208</v>
      </c>
      <c r="I54" s="55">
        <f t="shared" si="2"/>
        <v>11192</v>
      </c>
      <c r="J54" s="55">
        <f t="shared" si="2"/>
        <v>11186</v>
      </c>
      <c r="K54" s="55">
        <f t="shared" si="2"/>
        <v>3917</v>
      </c>
      <c r="L54" s="55">
        <f t="shared" si="2"/>
        <v>3599</v>
      </c>
      <c r="M54" s="55">
        <f t="shared" si="2"/>
        <v>2466</v>
      </c>
    </row>
    <row r="55" spans="1:13" ht="12.75">
      <c r="A55" s="29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s="7" customFormat="1" ht="12.75">
      <c r="A56" s="30" t="s">
        <v>4</v>
      </c>
      <c r="B56" s="56">
        <f>B38+B54</f>
        <v>15411</v>
      </c>
      <c r="C56" s="56">
        <f aca="true" t="shared" si="3" ref="C56:M56">C38+C54</f>
        <v>13884</v>
      </c>
      <c r="D56" s="56">
        <f t="shared" si="3"/>
        <v>16687</v>
      </c>
      <c r="E56" s="56">
        <f t="shared" si="3"/>
        <v>5753</v>
      </c>
      <c r="F56" s="56">
        <f t="shared" si="3"/>
        <v>5026</v>
      </c>
      <c r="G56" s="56">
        <f t="shared" si="3"/>
        <v>6372</v>
      </c>
      <c r="H56" s="56">
        <f t="shared" si="3"/>
        <v>14928</v>
      </c>
      <c r="I56" s="56">
        <f t="shared" si="3"/>
        <v>13835</v>
      </c>
      <c r="J56" s="56">
        <f t="shared" si="3"/>
        <v>14236</v>
      </c>
      <c r="K56" s="56">
        <f t="shared" si="3"/>
        <v>5270</v>
      </c>
      <c r="L56" s="56">
        <f t="shared" si="3"/>
        <v>4977</v>
      </c>
      <c r="M56" s="56">
        <f t="shared" si="3"/>
        <v>3921</v>
      </c>
    </row>
    <row r="57" spans="1:13" ht="6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ht="13.5">
      <c r="A58" s="54"/>
    </row>
    <row r="59" ht="14.25">
      <c r="A59" s="35" t="s">
        <v>76</v>
      </c>
    </row>
    <row r="60" ht="12.75">
      <c r="A60" s="61" t="s">
        <v>77</v>
      </c>
    </row>
  </sheetData>
  <mergeCells count="11">
    <mergeCell ref="H7:M7"/>
    <mergeCell ref="A29:M29"/>
    <mergeCell ref="A11:M11"/>
    <mergeCell ref="A31:M31"/>
    <mergeCell ref="A1:M1"/>
    <mergeCell ref="B8:D8"/>
    <mergeCell ref="E8:G8"/>
    <mergeCell ref="H8:J8"/>
    <mergeCell ref="K8:M8"/>
    <mergeCell ref="A7:A9"/>
    <mergeCell ref="B7:G7"/>
  </mergeCells>
  <printOptions horizontalCentered="1"/>
  <pageMargins left="0.2362204724409449" right="0.1968503937007874" top="0.7874015748031497" bottom="0.5905511811023623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2"/>
  <sheetViews>
    <sheetView showGridLines="0" workbookViewId="0" topLeftCell="A88">
      <selection activeCell="A55" sqref="A55:J102"/>
    </sheetView>
  </sheetViews>
  <sheetFormatPr defaultColWidth="11.421875" defaultRowHeight="12.75"/>
  <cols>
    <col min="1" max="1" width="23.421875" style="0" customWidth="1"/>
    <col min="2" max="2" width="9.00390625" style="0" customWidth="1"/>
    <col min="3" max="3" width="7.8515625" style="0" customWidth="1"/>
    <col min="4" max="4" width="7.7109375" style="0" customWidth="1"/>
    <col min="5" max="5" width="9.00390625" style="0" customWidth="1"/>
    <col min="6" max="6" width="7.8515625" style="0" customWidth="1"/>
    <col min="7" max="7" width="7.7109375" style="0" customWidth="1"/>
    <col min="8" max="8" width="9.00390625" style="0" customWidth="1"/>
    <col min="9" max="9" width="7.8515625" style="0" customWidth="1"/>
    <col min="10" max="10" width="7.7109375" style="0" customWidth="1"/>
  </cols>
  <sheetData>
    <row r="2" spans="1:10" ht="12.75">
      <c r="A2" s="92" t="s">
        <v>82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92"/>
    </row>
    <row r="4" spans="1:8" ht="12.75">
      <c r="A4" s="50"/>
      <c r="B4" s="50"/>
      <c r="C4" s="50"/>
      <c r="D4" s="50"/>
      <c r="E4" s="50"/>
      <c r="F4" s="50"/>
      <c r="G4" s="50"/>
      <c r="H4" s="50"/>
    </row>
    <row r="5" spans="1:8" ht="12.75" customHeight="1">
      <c r="A5" s="50"/>
      <c r="B5" s="50"/>
      <c r="C5" s="50"/>
      <c r="D5" s="50"/>
      <c r="E5" s="50"/>
      <c r="F5" s="50"/>
      <c r="G5" s="50"/>
      <c r="H5" s="50"/>
    </row>
    <row r="6" spans="1:10" ht="12.7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</row>
    <row r="8" ht="12.75">
      <c r="A8" s="2"/>
    </row>
    <row r="9" spans="1:10" ht="12.75" customHeight="1">
      <c r="A9" s="117" t="s">
        <v>50</v>
      </c>
      <c r="B9" s="118" t="s">
        <v>21</v>
      </c>
      <c r="C9" s="119"/>
      <c r="D9" s="119"/>
      <c r="E9" s="118" t="s">
        <v>22</v>
      </c>
      <c r="F9" s="119"/>
      <c r="G9" s="105"/>
      <c r="H9" s="118" t="s">
        <v>35</v>
      </c>
      <c r="I9" s="119"/>
      <c r="J9" s="119"/>
    </row>
    <row r="10" spans="1:10" ht="12.75">
      <c r="A10" s="117"/>
      <c r="B10" s="124"/>
      <c r="C10" s="125"/>
      <c r="D10" s="125"/>
      <c r="E10" s="120"/>
      <c r="F10" s="121"/>
      <c r="G10" s="106"/>
      <c r="H10" s="120"/>
      <c r="I10" s="121"/>
      <c r="J10" s="121"/>
    </row>
    <row r="11" spans="1:10" ht="12.75">
      <c r="A11" s="125"/>
      <c r="B11" s="122" t="s">
        <v>5</v>
      </c>
      <c r="C11" s="122" t="s">
        <v>6</v>
      </c>
      <c r="D11" s="122" t="s">
        <v>7</v>
      </c>
      <c r="E11" s="122" t="s">
        <v>5</v>
      </c>
      <c r="F11" s="122" t="s">
        <v>6</v>
      </c>
      <c r="G11" s="122" t="s">
        <v>7</v>
      </c>
      <c r="H11" s="122" t="s">
        <v>5</v>
      </c>
      <c r="I11" s="122" t="s">
        <v>6</v>
      </c>
      <c r="J11" s="122" t="s">
        <v>7</v>
      </c>
    </row>
    <row r="12" spans="1:10" ht="12.75">
      <c r="A12" s="121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9" ht="9" customHeight="1">
      <c r="A13" s="8"/>
      <c r="D13" s="3"/>
      <c r="G13" s="3"/>
      <c r="H13" s="63"/>
      <c r="I13" s="63"/>
    </row>
    <row r="14" spans="1:10" ht="12.75">
      <c r="A14" s="11" t="s">
        <v>36</v>
      </c>
      <c r="B14" s="67">
        <f>C14+D14</f>
        <v>637</v>
      </c>
      <c r="C14" s="67">
        <f>93+103+137</f>
        <v>333</v>
      </c>
      <c r="D14" s="68">
        <f>103+86+115</f>
        <v>304</v>
      </c>
      <c r="E14" s="67">
        <f>F14+G14</f>
        <v>459</v>
      </c>
      <c r="F14" s="67">
        <f>73+64+97</f>
        <v>234</v>
      </c>
      <c r="G14" s="68">
        <f>77+70+78</f>
        <v>225</v>
      </c>
      <c r="H14" s="69">
        <f>B14-E14</f>
        <v>178</v>
      </c>
      <c r="I14" s="69">
        <f>C14-F14</f>
        <v>99</v>
      </c>
      <c r="J14" s="67">
        <f>D14-G14</f>
        <v>79</v>
      </c>
    </row>
    <row r="15" spans="1:10" ht="12.75">
      <c r="A15" s="11"/>
      <c r="B15" s="67"/>
      <c r="C15" s="67"/>
      <c r="D15" s="68"/>
      <c r="E15" s="67"/>
      <c r="F15" s="67"/>
      <c r="G15" s="68"/>
      <c r="H15" s="69"/>
      <c r="I15" s="69"/>
      <c r="J15" s="67"/>
    </row>
    <row r="16" spans="1:10" ht="12.75">
      <c r="A16" s="11" t="s">
        <v>37</v>
      </c>
      <c r="B16" s="67">
        <f aca="true" t="shared" si="0" ref="B16:B42">C16+D16</f>
        <v>707</v>
      </c>
      <c r="C16" s="67">
        <f>126+107+121</f>
        <v>354</v>
      </c>
      <c r="D16" s="68">
        <f>112+117+124</f>
        <v>353</v>
      </c>
      <c r="E16" s="67">
        <f aca="true" t="shared" si="1" ref="E16:E42">F16+G16</f>
        <v>434</v>
      </c>
      <c r="F16" s="67">
        <f>49+121+80</f>
        <v>250</v>
      </c>
      <c r="G16" s="68">
        <f>44+90+50</f>
        <v>184</v>
      </c>
      <c r="H16" s="69">
        <f>B16-E16</f>
        <v>273</v>
      </c>
      <c r="I16" s="69">
        <f aca="true" t="shared" si="2" ref="I16:I48">C16-F16</f>
        <v>104</v>
      </c>
      <c r="J16" s="67">
        <f aca="true" t="shared" si="3" ref="J16:J48">D16-G16</f>
        <v>169</v>
      </c>
    </row>
    <row r="17" spans="1:10" ht="12.75">
      <c r="A17" s="11"/>
      <c r="B17" s="67"/>
      <c r="C17" s="67"/>
      <c r="D17" s="68"/>
      <c r="E17" s="67"/>
      <c r="F17" s="67"/>
      <c r="G17" s="68"/>
      <c r="H17" s="69"/>
      <c r="I17" s="69"/>
      <c r="J17" s="67"/>
    </row>
    <row r="18" spans="1:10" ht="12.75">
      <c r="A18" s="11" t="s">
        <v>38</v>
      </c>
      <c r="B18" s="67">
        <f t="shared" si="0"/>
        <v>728</v>
      </c>
      <c r="C18" s="67">
        <f>140+108+145</f>
        <v>393</v>
      </c>
      <c r="D18" s="68">
        <f>113+91+131</f>
        <v>335</v>
      </c>
      <c r="E18" s="67">
        <f t="shared" si="1"/>
        <v>587</v>
      </c>
      <c r="F18" s="67">
        <f>108+94+121</f>
        <v>323</v>
      </c>
      <c r="G18" s="68">
        <f>77+75+112</f>
        <v>264</v>
      </c>
      <c r="H18" s="69">
        <f>B18-E18</f>
        <v>141</v>
      </c>
      <c r="I18" s="69">
        <f t="shared" si="2"/>
        <v>70</v>
      </c>
      <c r="J18" s="67">
        <f t="shared" si="3"/>
        <v>71</v>
      </c>
    </row>
    <row r="19" spans="1:10" ht="12.75">
      <c r="A19" s="11"/>
      <c r="B19" s="67"/>
      <c r="C19" s="67"/>
      <c r="D19" s="68"/>
      <c r="E19" s="67"/>
      <c r="F19" s="67"/>
      <c r="G19" s="68"/>
      <c r="H19" s="69"/>
      <c r="I19" s="69"/>
      <c r="J19" s="67"/>
    </row>
    <row r="20" spans="1:10" ht="12.75">
      <c r="A20" s="11" t="s">
        <v>39</v>
      </c>
      <c r="B20" s="67">
        <f t="shared" si="0"/>
        <v>364</v>
      </c>
      <c r="C20" s="67">
        <f>62+56+73</f>
        <v>191</v>
      </c>
      <c r="D20" s="68">
        <f>50+54+69</f>
        <v>173</v>
      </c>
      <c r="E20" s="67">
        <f t="shared" si="1"/>
        <v>130</v>
      </c>
      <c r="F20" s="67">
        <f>26+22+22</f>
        <v>70</v>
      </c>
      <c r="G20" s="68">
        <f>20+18+22</f>
        <v>60</v>
      </c>
      <c r="H20" s="69">
        <f>B20-E20</f>
        <v>234</v>
      </c>
      <c r="I20" s="69">
        <f t="shared" si="2"/>
        <v>121</v>
      </c>
      <c r="J20" s="67">
        <f t="shared" si="3"/>
        <v>113</v>
      </c>
    </row>
    <row r="21" spans="1:10" ht="12.75">
      <c r="A21" s="11"/>
      <c r="B21" s="67"/>
      <c r="C21" s="67"/>
      <c r="D21" s="68"/>
      <c r="E21" s="67"/>
      <c r="F21" s="67"/>
      <c r="G21" s="68"/>
      <c r="H21" s="69"/>
      <c r="I21" s="69"/>
      <c r="J21" s="67"/>
    </row>
    <row r="22" spans="1:10" ht="12.75">
      <c r="A22" s="11" t="s">
        <v>40</v>
      </c>
      <c r="B22" s="67">
        <f t="shared" si="0"/>
        <v>312</v>
      </c>
      <c r="C22" s="67">
        <f>55+34+61</f>
        <v>150</v>
      </c>
      <c r="D22" s="68">
        <f>45+59+58</f>
        <v>162</v>
      </c>
      <c r="E22" s="67">
        <f t="shared" si="1"/>
        <v>182</v>
      </c>
      <c r="F22" s="67">
        <f>29+37+39</f>
        <v>105</v>
      </c>
      <c r="G22" s="68">
        <f>21+28+28</f>
        <v>77</v>
      </c>
      <c r="H22" s="69">
        <f>B22-E22</f>
        <v>130</v>
      </c>
      <c r="I22" s="69">
        <f t="shared" si="2"/>
        <v>45</v>
      </c>
      <c r="J22" s="67">
        <f t="shared" si="3"/>
        <v>85</v>
      </c>
    </row>
    <row r="23" spans="1:10" ht="12.75">
      <c r="A23" s="11"/>
      <c r="B23" s="67"/>
      <c r="C23" s="67"/>
      <c r="D23" s="68"/>
      <c r="E23" s="67"/>
      <c r="F23" s="67"/>
      <c r="G23" s="68"/>
      <c r="H23" s="69"/>
      <c r="I23" s="69"/>
      <c r="J23" s="67"/>
    </row>
    <row r="24" spans="1:10" ht="12.75">
      <c r="A24" s="11" t="s">
        <v>51</v>
      </c>
      <c r="B24" s="67">
        <f t="shared" si="0"/>
        <v>608</v>
      </c>
      <c r="C24" s="67">
        <f>102+87+119</f>
        <v>308</v>
      </c>
      <c r="D24" s="68">
        <f>92+96+112</f>
        <v>300</v>
      </c>
      <c r="E24" s="67">
        <f t="shared" si="1"/>
        <v>421</v>
      </c>
      <c r="F24" s="67">
        <f>80+63+84</f>
        <v>227</v>
      </c>
      <c r="G24" s="68">
        <f>53+66+75</f>
        <v>194</v>
      </c>
      <c r="H24" s="69">
        <f>B24-E24</f>
        <v>187</v>
      </c>
      <c r="I24" s="69">
        <f t="shared" si="2"/>
        <v>81</v>
      </c>
      <c r="J24" s="67">
        <f t="shared" si="3"/>
        <v>106</v>
      </c>
    </row>
    <row r="25" spans="1:10" ht="12.75">
      <c r="A25" s="11"/>
      <c r="B25" s="67"/>
      <c r="C25" s="67"/>
      <c r="D25" s="68"/>
      <c r="E25" s="67"/>
      <c r="F25" s="67"/>
      <c r="G25" s="68"/>
      <c r="H25" s="69"/>
      <c r="I25" s="69"/>
      <c r="J25" s="67"/>
    </row>
    <row r="26" spans="1:10" ht="12.75">
      <c r="A26" s="11" t="s">
        <v>41</v>
      </c>
      <c r="B26" s="67">
        <f t="shared" si="0"/>
        <v>1346</v>
      </c>
      <c r="C26" s="67">
        <f>231+215+248</f>
        <v>694</v>
      </c>
      <c r="D26" s="68">
        <f>215+210+227</f>
        <v>652</v>
      </c>
      <c r="E26" s="67">
        <f t="shared" si="1"/>
        <v>526</v>
      </c>
      <c r="F26" s="67">
        <f>94+77+109</f>
        <v>280</v>
      </c>
      <c r="G26" s="68">
        <f>77+67+102</f>
        <v>246</v>
      </c>
      <c r="H26" s="69">
        <f>B26-E26</f>
        <v>820</v>
      </c>
      <c r="I26" s="69">
        <f t="shared" si="2"/>
        <v>414</v>
      </c>
      <c r="J26" s="67">
        <f t="shared" si="3"/>
        <v>406</v>
      </c>
    </row>
    <row r="27" spans="1:10" ht="12.75">
      <c r="A27" s="11"/>
      <c r="B27" s="67"/>
      <c r="C27" s="67"/>
      <c r="D27" s="68"/>
      <c r="E27" s="67"/>
      <c r="F27" s="67"/>
      <c r="G27" s="68"/>
      <c r="H27" s="69"/>
      <c r="I27" s="69"/>
      <c r="J27" s="67"/>
    </row>
    <row r="28" spans="1:10" ht="12.75">
      <c r="A28" s="11" t="s">
        <v>42</v>
      </c>
      <c r="B28" s="67">
        <f t="shared" si="0"/>
        <v>3469</v>
      </c>
      <c r="C28" s="67">
        <f>545+542+669</f>
        <v>1756</v>
      </c>
      <c r="D28" s="68">
        <f>545+552+616</f>
        <v>1713</v>
      </c>
      <c r="E28" s="67">
        <f t="shared" si="1"/>
        <v>2551</v>
      </c>
      <c r="F28" s="67">
        <f>439+384+461</f>
        <v>1284</v>
      </c>
      <c r="G28" s="68">
        <f>451+360+456</f>
        <v>1267</v>
      </c>
      <c r="H28" s="69">
        <f>B28-E28</f>
        <v>918</v>
      </c>
      <c r="I28" s="69">
        <f t="shared" si="2"/>
        <v>472</v>
      </c>
      <c r="J28" s="67">
        <f t="shared" si="3"/>
        <v>446</v>
      </c>
    </row>
    <row r="29" spans="1:10" ht="12.75">
      <c r="A29" s="11"/>
      <c r="B29" s="67"/>
      <c r="C29" s="67"/>
      <c r="D29" s="68"/>
      <c r="E29" s="67"/>
      <c r="F29" s="67"/>
      <c r="G29" s="68"/>
      <c r="H29" s="69"/>
      <c r="I29" s="69"/>
      <c r="J29" s="67"/>
    </row>
    <row r="30" spans="1:10" ht="12.75">
      <c r="A30" s="11" t="s">
        <v>43</v>
      </c>
      <c r="B30" s="67">
        <f t="shared" si="0"/>
        <v>1522</v>
      </c>
      <c r="C30" s="67">
        <f>244+261+269</f>
        <v>774</v>
      </c>
      <c r="D30" s="68">
        <f>247+235+266</f>
        <v>748</v>
      </c>
      <c r="E30" s="67">
        <f t="shared" si="1"/>
        <v>918</v>
      </c>
      <c r="F30" s="67">
        <f>147+138+186</f>
        <v>471</v>
      </c>
      <c r="G30" s="68">
        <f>129+130+188</f>
        <v>447</v>
      </c>
      <c r="H30" s="69">
        <f>B30-E30</f>
        <v>604</v>
      </c>
      <c r="I30" s="69">
        <f t="shared" si="2"/>
        <v>303</v>
      </c>
      <c r="J30" s="67">
        <f t="shared" si="3"/>
        <v>301</v>
      </c>
    </row>
    <row r="31" spans="1:10" ht="12.75">
      <c r="A31" s="11"/>
      <c r="B31" s="67"/>
      <c r="C31" s="67"/>
      <c r="D31" s="68"/>
      <c r="E31" s="67"/>
      <c r="F31" s="67"/>
      <c r="G31" s="68"/>
      <c r="H31" s="69"/>
      <c r="I31" s="69"/>
      <c r="J31" s="67"/>
    </row>
    <row r="32" spans="1:10" ht="12.75">
      <c r="A32" s="11" t="s">
        <v>44</v>
      </c>
      <c r="B32" s="67">
        <f t="shared" si="0"/>
        <v>196</v>
      </c>
      <c r="C32" s="67">
        <f>31+33+36</f>
        <v>100</v>
      </c>
      <c r="D32" s="68">
        <f>31+31+34</f>
        <v>96</v>
      </c>
      <c r="E32" s="67">
        <f t="shared" si="1"/>
        <v>115</v>
      </c>
      <c r="F32" s="67">
        <f>20+18+20</f>
        <v>58</v>
      </c>
      <c r="G32" s="68">
        <f>19+24+14</f>
        <v>57</v>
      </c>
      <c r="H32" s="69">
        <f>B32-E32</f>
        <v>81</v>
      </c>
      <c r="I32" s="69">
        <f t="shared" si="2"/>
        <v>42</v>
      </c>
      <c r="J32" s="67">
        <f t="shared" si="3"/>
        <v>39</v>
      </c>
    </row>
    <row r="33" spans="1:10" ht="12.75">
      <c r="A33" s="11"/>
      <c r="B33" s="67"/>
      <c r="C33" s="67"/>
      <c r="D33" s="68"/>
      <c r="E33" s="67"/>
      <c r="F33" s="67"/>
      <c r="G33" s="68"/>
      <c r="H33" s="69"/>
      <c r="I33" s="69"/>
      <c r="J33" s="67"/>
    </row>
    <row r="34" spans="1:10" ht="12.75">
      <c r="A34" s="11" t="s">
        <v>45</v>
      </c>
      <c r="B34" s="67">
        <f t="shared" si="0"/>
        <v>35</v>
      </c>
      <c r="C34" s="67">
        <f>7+7+5</f>
        <v>19</v>
      </c>
      <c r="D34" s="68">
        <f>5+3+8</f>
        <v>16</v>
      </c>
      <c r="E34" s="67">
        <f t="shared" si="1"/>
        <v>38</v>
      </c>
      <c r="F34" s="67">
        <f>5+4+8</f>
        <v>17</v>
      </c>
      <c r="G34" s="68">
        <f>9+5+7</f>
        <v>21</v>
      </c>
      <c r="H34" s="77">
        <v>3</v>
      </c>
      <c r="I34" s="69">
        <f t="shared" si="2"/>
        <v>2</v>
      </c>
      <c r="J34" s="78">
        <v>5</v>
      </c>
    </row>
    <row r="35" spans="1:10" ht="12.75">
      <c r="A35" s="4"/>
      <c r="B35" s="67"/>
      <c r="C35" s="67"/>
      <c r="D35" s="68"/>
      <c r="E35" s="67"/>
      <c r="F35" s="67"/>
      <c r="G35" s="68"/>
      <c r="H35" s="69"/>
      <c r="I35" s="69"/>
      <c r="J35" s="67"/>
    </row>
    <row r="36" spans="1:10" ht="12.75">
      <c r="A36" s="4" t="s">
        <v>46</v>
      </c>
      <c r="B36" s="67">
        <f t="shared" si="0"/>
        <v>222</v>
      </c>
      <c r="C36" s="67">
        <f>30+39+40</f>
        <v>109</v>
      </c>
      <c r="D36" s="68">
        <f>42+33+38</f>
        <v>113</v>
      </c>
      <c r="E36" s="67">
        <f t="shared" si="1"/>
        <v>110</v>
      </c>
      <c r="F36" s="67">
        <f>18+16+20</f>
        <v>54</v>
      </c>
      <c r="G36" s="68">
        <f>20+21+15</f>
        <v>56</v>
      </c>
      <c r="H36" s="69">
        <f>B36-E36</f>
        <v>112</v>
      </c>
      <c r="I36" s="69">
        <f t="shared" si="2"/>
        <v>55</v>
      </c>
      <c r="J36" s="67">
        <f t="shared" si="3"/>
        <v>57</v>
      </c>
    </row>
    <row r="37" spans="1:10" ht="12.75">
      <c r="A37" s="11"/>
      <c r="B37" s="67"/>
      <c r="C37" s="67"/>
      <c r="D37" s="68"/>
      <c r="E37" s="67"/>
      <c r="F37" s="67"/>
      <c r="G37" s="68"/>
      <c r="H37" s="69"/>
      <c r="I37" s="69"/>
      <c r="J37" s="67"/>
    </row>
    <row r="38" spans="1:10" ht="12.75">
      <c r="A38" s="11" t="s">
        <v>47</v>
      </c>
      <c r="B38" s="67">
        <f t="shared" si="0"/>
        <v>228</v>
      </c>
      <c r="C38" s="67">
        <f>36+41+33</f>
        <v>110</v>
      </c>
      <c r="D38" s="68">
        <f>37+39+42</f>
        <v>118</v>
      </c>
      <c r="E38" s="67">
        <f t="shared" si="1"/>
        <v>103</v>
      </c>
      <c r="F38" s="67">
        <f>16+16+24</f>
        <v>56</v>
      </c>
      <c r="G38" s="68">
        <f>15+7+25</f>
        <v>47</v>
      </c>
      <c r="H38" s="69">
        <f>B38-E38</f>
        <v>125</v>
      </c>
      <c r="I38" s="69">
        <f t="shared" si="2"/>
        <v>54</v>
      </c>
      <c r="J38" s="67">
        <f t="shared" si="3"/>
        <v>71</v>
      </c>
    </row>
    <row r="39" spans="1:10" ht="12.75">
      <c r="A39" s="11"/>
      <c r="B39" s="67"/>
      <c r="C39" s="67"/>
      <c r="D39" s="68"/>
      <c r="E39" s="67"/>
      <c r="F39" s="67"/>
      <c r="G39" s="68"/>
      <c r="H39" s="69"/>
      <c r="I39" s="69"/>
      <c r="J39" s="67"/>
    </row>
    <row r="40" spans="1:10" ht="12.75">
      <c r="A40" s="11" t="s">
        <v>4</v>
      </c>
      <c r="B40" s="67">
        <f t="shared" si="0"/>
        <v>5534</v>
      </c>
      <c r="C40" s="67">
        <f>924+858+1063</f>
        <v>2845</v>
      </c>
      <c r="D40" s="68">
        <f>893+870+926</f>
        <v>2689</v>
      </c>
      <c r="E40" s="67">
        <f t="shared" si="1"/>
        <v>5036</v>
      </c>
      <c r="F40" s="67">
        <f>866+723+926</f>
        <v>2515</v>
      </c>
      <c r="G40" s="68">
        <f>800+803+918</f>
        <v>2521</v>
      </c>
      <c r="H40" s="69">
        <f>B40-E40</f>
        <v>498</v>
      </c>
      <c r="I40" s="69">
        <f t="shared" si="2"/>
        <v>330</v>
      </c>
      <c r="J40" s="67">
        <f t="shared" si="3"/>
        <v>168</v>
      </c>
    </row>
    <row r="41" spans="1:10" ht="12.75">
      <c r="A41" s="11"/>
      <c r="B41" s="67"/>
      <c r="C41" s="67"/>
      <c r="D41" s="68"/>
      <c r="E41" s="67"/>
      <c r="F41" s="67"/>
      <c r="G41" s="68"/>
      <c r="H41" s="69"/>
      <c r="I41" s="69"/>
      <c r="J41" s="67"/>
    </row>
    <row r="42" spans="1:10" ht="12.75">
      <c r="A42" s="11" t="s">
        <v>48</v>
      </c>
      <c r="B42" s="67">
        <f t="shared" si="0"/>
        <v>118</v>
      </c>
      <c r="C42" s="67">
        <f>20+15+19</f>
        <v>54</v>
      </c>
      <c r="D42" s="68">
        <f>25+16+23</f>
        <v>64</v>
      </c>
      <c r="E42" s="67">
        <f t="shared" si="1"/>
        <v>40</v>
      </c>
      <c r="F42" s="67">
        <f>10+5+10</f>
        <v>25</v>
      </c>
      <c r="G42" s="68">
        <f>5+4+6</f>
        <v>15</v>
      </c>
      <c r="H42" s="69">
        <f>B42-E42</f>
        <v>78</v>
      </c>
      <c r="I42" s="69">
        <f t="shared" si="2"/>
        <v>29</v>
      </c>
      <c r="J42" s="67">
        <f t="shared" si="3"/>
        <v>49</v>
      </c>
    </row>
    <row r="43" spans="1:10" ht="12.75" customHeight="1">
      <c r="A43" s="11"/>
      <c r="B43" s="67"/>
      <c r="C43" s="67"/>
      <c r="D43" s="68"/>
      <c r="E43" s="67"/>
      <c r="F43" s="67"/>
      <c r="G43" s="68"/>
      <c r="H43" s="69"/>
      <c r="I43" s="69"/>
      <c r="J43" s="67"/>
    </row>
    <row r="44" spans="1:10" ht="12.75">
      <c r="A44" s="11" t="s">
        <v>49</v>
      </c>
      <c r="B44" s="67">
        <f aca="true" t="shared" si="4" ref="B44:G44">B14+B16+B18+B20+B22+B24+B26+B28+B30+B32+B34+B36+B38+B40+B42</f>
        <v>16026</v>
      </c>
      <c r="C44" s="67">
        <f t="shared" si="4"/>
        <v>8190</v>
      </c>
      <c r="D44" s="68">
        <f t="shared" si="4"/>
        <v>7836</v>
      </c>
      <c r="E44" s="67">
        <f t="shared" si="4"/>
        <v>11650</v>
      </c>
      <c r="F44" s="67">
        <f t="shared" si="4"/>
        <v>5969</v>
      </c>
      <c r="G44" s="68">
        <f t="shared" si="4"/>
        <v>5681</v>
      </c>
      <c r="H44" s="69">
        <f>B44-E44</f>
        <v>4376</v>
      </c>
      <c r="I44" s="69">
        <f t="shared" si="2"/>
        <v>2221</v>
      </c>
      <c r="J44" s="67">
        <f t="shared" si="3"/>
        <v>2155</v>
      </c>
    </row>
    <row r="45" spans="1:10" ht="12.75" customHeight="1">
      <c r="A45" s="11"/>
      <c r="B45" s="70"/>
      <c r="C45" s="71"/>
      <c r="D45" s="72"/>
      <c r="E45" s="71"/>
      <c r="F45" s="71"/>
      <c r="G45" s="72"/>
      <c r="H45" s="73"/>
      <c r="I45" s="69"/>
      <c r="J45" s="67"/>
    </row>
    <row r="46" spans="1:10" ht="12.75">
      <c r="A46" s="11" t="s">
        <v>72</v>
      </c>
      <c r="B46" s="67">
        <f>C46+D46</f>
        <v>5180</v>
      </c>
      <c r="C46" s="67">
        <f>1176+849+1270</f>
        <v>3295</v>
      </c>
      <c r="D46" s="68">
        <f>666+517+702</f>
        <v>1885</v>
      </c>
      <c r="E46" s="67">
        <f>F46+G46</f>
        <v>4952</v>
      </c>
      <c r="F46" s="67">
        <f>851+797+1638</f>
        <v>3286</v>
      </c>
      <c r="G46" s="68">
        <f>473+426+767</f>
        <v>1666</v>
      </c>
      <c r="H46" s="69">
        <f>B46-E46</f>
        <v>228</v>
      </c>
      <c r="I46" s="69">
        <f t="shared" si="2"/>
        <v>9</v>
      </c>
      <c r="J46" s="67">
        <f t="shared" si="3"/>
        <v>219</v>
      </c>
    </row>
    <row r="47" spans="1:10" ht="12.75">
      <c r="A47" s="4"/>
      <c r="B47" s="67"/>
      <c r="C47" s="67"/>
      <c r="D47" s="68"/>
      <c r="E47" s="67"/>
      <c r="F47" s="67"/>
      <c r="G47" s="68"/>
      <c r="H47" s="69"/>
      <c r="I47" s="69"/>
      <c r="J47" s="67"/>
    </row>
    <row r="48" spans="1:10" ht="12.75">
      <c r="A48" s="12" t="s">
        <v>67</v>
      </c>
      <c r="B48" s="74">
        <f aca="true" t="shared" si="5" ref="B48:G48">B44+B46</f>
        <v>21206</v>
      </c>
      <c r="C48" s="74">
        <f t="shared" si="5"/>
        <v>11485</v>
      </c>
      <c r="D48" s="75">
        <f t="shared" si="5"/>
        <v>9721</v>
      </c>
      <c r="E48" s="74">
        <f t="shared" si="5"/>
        <v>16602</v>
      </c>
      <c r="F48" s="74">
        <f t="shared" si="5"/>
        <v>9255</v>
      </c>
      <c r="G48" s="75">
        <f t="shared" si="5"/>
        <v>7347</v>
      </c>
      <c r="H48" s="76">
        <f>B48-E48</f>
        <v>4604</v>
      </c>
      <c r="I48" s="76">
        <f t="shared" si="2"/>
        <v>2230</v>
      </c>
      <c r="J48" s="74">
        <f t="shared" si="3"/>
        <v>2374</v>
      </c>
    </row>
    <row r="49" ht="14.25">
      <c r="A49" s="35"/>
    </row>
    <row r="54" ht="12.75">
      <c r="A54" s="7"/>
    </row>
    <row r="55" spans="1:10" ht="12.75">
      <c r="A55" s="92" t="s">
        <v>83</v>
      </c>
      <c r="B55" s="92"/>
      <c r="C55" s="92"/>
      <c r="D55" s="92"/>
      <c r="E55" s="92"/>
      <c r="F55" s="92"/>
      <c r="G55" s="92"/>
      <c r="H55" s="92"/>
      <c r="I55" s="92"/>
      <c r="J55" s="92"/>
    </row>
    <row r="56" spans="1:10" ht="12.75">
      <c r="A56" s="92" t="s">
        <v>71</v>
      </c>
      <c r="B56" s="92"/>
      <c r="C56" s="92"/>
      <c r="D56" s="92"/>
      <c r="E56" s="92"/>
      <c r="F56" s="92"/>
      <c r="G56" s="92"/>
      <c r="H56" s="92"/>
      <c r="I56" s="92"/>
      <c r="J56" s="92"/>
    </row>
    <row r="57" spans="1:8" ht="12.75">
      <c r="A57" s="50"/>
      <c r="B57" s="50"/>
      <c r="C57" s="50"/>
      <c r="D57" s="50"/>
      <c r="E57" s="50"/>
      <c r="F57" s="50"/>
      <c r="G57" s="50"/>
      <c r="H57" s="50"/>
    </row>
    <row r="58" spans="1:8" ht="12.75">
      <c r="A58" s="50"/>
      <c r="B58" s="50"/>
      <c r="C58" s="50"/>
      <c r="D58" s="50"/>
      <c r="E58" s="50"/>
      <c r="F58" s="50"/>
      <c r="G58" s="50"/>
      <c r="H58" s="50"/>
    </row>
    <row r="59" spans="1:10" ht="12.75">
      <c r="A59" s="92" t="s">
        <v>4</v>
      </c>
      <c r="B59" s="92"/>
      <c r="C59" s="92"/>
      <c r="D59" s="92"/>
      <c r="E59" s="92"/>
      <c r="F59" s="92"/>
      <c r="G59" s="92"/>
      <c r="H59" s="92"/>
      <c r="I59" s="92"/>
      <c r="J59" s="92"/>
    </row>
    <row r="60" spans="2:8" ht="12.75">
      <c r="B60" s="5"/>
      <c r="C60" s="5"/>
      <c r="D60" s="5"/>
      <c r="E60" s="5"/>
      <c r="F60" s="5"/>
      <c r="G60" s="5"/>
      <c r="H60" s="5"/>
    </row>
    <row r="61" spans="1:8" ht="12.75">
      <c r="A61" s="2"/>
      <c r="B61" s="2"/>
      <c r="C61" s="2"/>
      <c r="D61" s="2"/>
      <c r="E61" s="5"/>
      <c r="F61" s="5"/>
      <c r="G61" s="5"/>
      <c r="H61" s="2"/>
    </row>
    <row r="62" spans="1:10" ht="12.75" customHeight="1">
      <c r="A62" s="105" t="s">
        <v>50</v>
      </c>
      <c r="B62" s="118" t="s">
        <v>21</v>
      </c>
      <c r="C62" s="119"/>
      <c r="D62" s="119"/>
      <c r="E62" s="118" t="s">
        <v>22</v>
      </c>
      <c r="F62" s="119"/>
      <c r="G62" s="105"/>
      <c r="H62" s="118" t="s">
        <v>35</v>
      </c>
      <c r="I62" s="119"/>
      <c r="J62" s="119"/>
    </row>
    <row r="63" spans="1:10" ht="12.75">
      <c r="A63" s="117"/>
      <c r="B63" s="124"/>
      <c r="C63" s="125"/>
      <c r="D63" s="125"/>
      <c r="E63" s="120"/>
      <c r="F63" s="121"/>
      <c r="G63" s="106"/>
      <c r="H63" s="120"/>
      <c r="I63" s="121"/>
      <c r="J63" s="121"/>
    </row>
    <row r="64" spans="1:10" ht="12.75">
      <c r="A64" s="117"/>
      <c r="B64" s="122" t="s">
        <v>5</v>
      </c>
      <c r="C64" s="122" t="s">
        <v>6</v>
      </c>
      <c r="D64" s="122" t="s">
        <v>7</v>
      </c>
      <c r="E64" s="122" t="s">
        <v>5</v>
      </c>
      <c r="F64" s="122" t="s">
        <v>6</v>
      </c>
      <c r="G64" s="122" t="s">
        <v>7</v>
      </c>
      <c r="H64" s="122" t="s">
        <v>5</v>
      </c>
      <c r="I64" s="122" t="s">
        <v>6</v>
      </c>
      <c r="J64" s="122" t="s">
        <v>7</v>
      </c>
    </row>
    <row r="65" spans="1:10" ht="12.75">
      <c r="A65" s="106"/>
      <c r="B65" s="123"/>
      <c r="C65" s="123"/>
      <c r="D65" s="123"/>
      <c r="E65" s="123"/>
      <c r="F65" s="123"/>
      <c r="G65" s="123"/>
      <c r="H65" s="123"/>
      <c r="I65" s="123"/>
      <c r="J65" s="123"/>
    </row>
    <row r="66" spans="1:9" ht="9" customHeight="1">
      <c r="A66" s="8"/>
      <c r="B66" s="21"/>
      <c r="C66" s="21"/>
      <c r="D66" s="22"/>
      <c r="E66" s="21"/>
      <c r="F66" s="21"/>
      <c r="G66" s="22"/>
      <c r="H66" s="64"/>
      <c r="I66" s="63"/>
    </row>
    <row r="67" spans="1:10" ht="12.75">
      <c r="A67" s="11" t="s">
        <v>36</v>
      </c>
      <c r="B67" s="79">
        <v>563</v>
      </c>
      <c r="C67" s="79">
        <v>298</v>
      </c>
      <c r="D67" s="80">
        <v>265</v>
      </c>
      <c r="E67" s="79">
        <v>686</v>
      </c>
      <c r="F67" s="79">
        <v>363</v>
      </c>
      <c r="G67" s="80">
        <v>323</v>
      </c>
      <c r="H67" s="85">
        <v>123</v>
      </c>
      <c r="I67" s="85">
        <v>65</v>
      </c>
      <c r="J67" s="86">
        <v>58</v>
      </c>
    </row>
    <row r="68" spans="1:10" ht="12.75">
      <c r="A68" s="11"/>
      <c r="B68" s="79"/>
      <c r="C68" s="79"/>
      <c r="D68" s="80"/>
      <c r="E68" s="79"/>
      <c r="F68" s="79"/>
      <c r="G68" s="80"/>
      <c r="H68" s="85"/>
      <c r="I68" s="85"/>
      <c r="J68" s="86"/>
    </row>
    <row r="69" spans="1:10" ht="12.75">
      <c r="A69" s="11" t="s">
        <v>37</v>
      </c>
      <c r="B69" s="79">
        <v>547</v>
      </c>
      <c r="C69" s="79">
        <v>282</v>
      </c>
      <c r="D69" s="80">
        <v>265</v>
      </c>
      <c r="E69" s="79">
        <v>578</v>
      </c>
      <c r="F69" s="79">
        <v>308</v>
      </c>
      <c r="G69" s="80">
        <v>270</v>
      </c>
      <c r="H69" s="85">
        <v>31</v>
      </c>
      <c r="I69" s="85">
        <v>26</v>
      </c>
      <c r="J69" s="86">
        <v>5</v>
      </c>
    </row>
    <row r="70" spans="1:10" ht="12.75">
      <c r="A70" s="11"/>
      <c r="B70" s="79"/>
      <c r="C70" s="79"/>
      <c r="D70" s="80"/>
      <c r="E70" s="79"/>
      <c r="F70" s="79"/>
      <c r="G70" s="80"/>
      <c r="H70" s="81"/>
      <c r="I70" s="81"/>
      <c r="J70" s="79"/>
    </row>
    <row r="71" spans="1:10" ht="12.75">
      <c r="A71" s="11" t="s">
        <v>38</v>
      </c>
      <c r="B71" s="79">
        <v>692</v>
      </c>
      <c r="C71" s="79">
        <v>376</v>
      </c>
      <c r="D71" s="80">
        <v>316</v>
      </c>
      <c r="E71" s="79">
        <v>503</v>
      </c>
      <c r="F71" s="79">
        <v>265</v>
      </c>
      <c r="G71" s="80">
        <v>238</v>
      </c>
      <c r="H71" s="81">
        <f>B71-E71</f>
        <v>189</v>
      </c>
      <c r="I71" s="81">
        <f>C71-F71</f>
        <v>111</v>
      </c>
      <c r="J71" s="79">
        <f>D71-G71</f>
        <v>78</v>
      </c>
    </row>
    <row r="72" spans="1:10" ht="12.75">
      <c r="A72" s="11"/>
      <c r="B72" s="79"/>
      <c r="C72" s="79"/>
      <c r="D72" s="80"/>
      <c r="E72" s="79"/>
      <c r="F72" s="79"/>
      <c r="G72" s="80"/>
      <c r="H72" s="81"/>
      <c r="I72" s="81"/>
      <c r="J72" s="79"/>
    </row>
    <row r="73" spans="1:10" ht="12.75">
      <c r="A73" s="11" t="s">
        <v>39</v>
      </c>
      <c r="B73" s="79">
        <v>352</v>
      </c>
      <c r="C73" s="79">
        <v>190</v>
      </c>
      <c r="D73" s="80">
        <v>162</v>
      </c>
      <c r="E73" s="79">
        <v>199</v>
      </c>
      <c r="F73" s="79">
        <v>104</v>
      </c>
      <c r="G73" s="80">
        <v>95</v>
      </c>
      <c r="H73" s="81">
        <f>B73-E73</f>
        <v>153</v>
      </c>
      <c r="I73" s="81">
        <f>C73-F73</f>
        <v>86</v>
      </c>
      <c r="J73" s="79">
        <f>D73-G73</f>
        <v>67</v>
      </c>
    </row>
    <row r="74" spans="1:10" ht="12.75">
      <c r="A74" s="11"/>
      <c r="B74" s="79"/>
      <c r="C74" s="79"/>
      <c r="D74" s="80"/>
      <c r="E74" s="79"/>
      <c r="F74" s="79"/>
      <c r="G74" s="80"/>
      <c r="H74" s="81"/>
      <c r="I74" s="81"/>
      <c r="J74" s="79"/>
    </row>
    <row r="75" spans="1:10" ht="12.75">
      <c r="A75" s="11" t="s">
        <v>40</v>
      </c>
      <c r="B75" s="79">
        <v>158</v>
      </c>
      <c r="C75" s="79">
        <v>85</v>
      </c>
      <c r="D75" s="80">
        <v>73</v>
      </c>
      <c r="E75" s="79">
        <v>177</v>
      </c>
      <c r="F75" s="79">
        <v>98</v>
      </c>
      <c r="G75" s="80">
        <v>79</v>
      </c>
      <c r="H75" s="85">
        <v>19</v>
      </c>
      <c r="I75" s="85">
        <v>13</v>
      </c>
      <c r="J75" s="86">
        <v>6</v>
      </c>
    </row>
    <row r="76" spans="1:10" ht="12.75">
      <c r="A76" s="11"/>
      <c r="B76" s="79"/>
      <c r="C76" s="79"/>
      <c r="D76" s="80"/>
      <c r="E76" s="79"/>
      <c r="F76" s="79"/>
      <c r="G76" s="80"/>
      <c r="H76" s="85"/>
      <c r="I76" s="85"/>
      <c r="J76" s="86"/>
    </row>
    <row r="77" spans="1:10" ht="12.75">
      <c r="A77" s="11" t="s">
        <v>0</v>
      </c>
      <c r="B77" s="79">
        <v>5036</v>
      </c>
      <c r="C77" s="79">
        <v>2515</v>
      </c>
      <c r="D77" s="80">
        <v>2521</v>
      </c>
      <c r="E77" s="79">
        <v>5534</v>
      </c>
      <c r="F77" s="79">
        <v>2845</v>
      </c>
      <c r="G77" s="80">
        <v>2689</v>
      </c>
      <c r="H77" s="85">
        <v>498</v>
      </c>
      <c r="I77" s="85">
        <v>330</v>
      </c>
      <c r="J77" s="86">
        <v>168</v>
      </c>
    </row>
    <row r="78" spans="1:10" ht="12.75">
      <c r="A78" s="11"/>
      <c r="B78" s="79"/>
      <c r="C78" s="79"/>
      <c r="D78" s="80"/>
      <c r="E78" s="79"/>
      <c r="F78" s="79"/>
      <c r="G78" s="80"/>
      <c r="H78" s="81"/>
      <c r="I78" s="81"/>
      <c r="J78" s="79"/>
    </row>
    <row r="79" spans="1:10" ht="12.75">
      <c r="A79" s="11" t="s">
        <v>51</v>
      </c>
      <c r="B79" s="79">
        <v>519</v>
      </c>
      <c r="C79" s="79">
        <v>240</v>
      </c>
      <c r="D79" s="80">
        <v>279</v>
      </c>
      <c r="E79" s="79">
        <v>472</v>
      </c>
      <c r="F79" s="79">
        <v>237</v>
      </c>
      <c r="G79" s="80">
        <v>235</v>
      </c>
      <c r="H79" s="81">
        <f>B79-E79</f>
        <v>47</v>
      </c>
      <c r="I79" s="81">
        <f>C79-F79</f>
        <v>3</v>
      </c>
      <c r="J79" s="79">
        <f>D79-G79</f>
        <v>44</v>
      </c>
    </row>
    <row r="80" spans="1:10" ht="12.75">
      <c r="A80" s="11"/>
      <c r="B80" s="79"/>
      <c r="C80" s="79"/>
      <c r="D80" s="80"/>
      <c r="E80" s="79"/>
      <c r="F80" s="79"/>
      <c r="G80" s="80"/>
      <c r="H80" s="81"/>
      <c r="I80" s="81"/>
      <c r="J80" s="79"/>
    </row>
    <row r="81" spans="1:10" ht="12.75">
      <c r="A81" s="11" t="s">
        <v>41</v>
      </c>
      <c r="B81" s="79">
        <v>1434</v>
      </c>
      <c r="C81" s="79">
        <v>734</v>
      </c>
      <c r="D81" s="80">
        <v>700</v>
      </c>
      <c r="E81" s="79">
        <v>1003</v>
      </c>
      <c r="F81" s="79">
        <v>569</v>
      </c>
      <c r="G81" s="80">
        <v>434</v>
      </c>
      <c r="H81" s="81">
        <f>B81-E81</f>
        <v>431</v>
      </c>
      <c r="I81" s="81">
        <f>C81-F81</f>
        <v>165</v>
      </c>
      <c r="J81" s="79">
        <f>D81-G81</f>
        <v>266</v>
      </c>
    </row>
    <row r="82" spans="1:10" ht="12.75">
      <c r="A82" s="11"/>
      <c r="B82" s="79"/>
      <c r="C82" s="79"/>
      <c r="D82" s="80"/>
      <c r="E82" s="79"/>
      <c r="F82" s="79"/>
      <c r="G82" s="80"/>
      <c r="H82" s="81"/>
      <c r="I82" s="81"/>
      <c r="J82" s="79"/>
    </row>
    <row r="83" spans="1:10" ht="12.75">
      <c r="A83" s="11" t="s">
        <v>42</v>
      </c>
      <c r="B83" s="79">
        <v>2239</v>
      </c>
      <c r="C83" s="79">
        <v>1118</v>
      </c>
      <c r="D83" s="80">
        <v>1121</v>
      </c>
      <c r="E83" s="79">
        <v>1858</v>
      </c>
      <c r="F83" s="79">
        <v>977</v>
      </c>
      <c r="G83" s="80">
        <v>881</v>
      </c>
      <c r="H83" s="81">
        <f>B83-E83</f>
        <v>381</v>
      </c>
      <c r="I83" s="81">
        <f>C83-F83</f>
        <v>141</v>
      </c>
      <c r="J83" s="79">
        <f>D83-G83</f>
        <v>240</v>
      </c>
    </row>
    <row r="84" spans="1:10" ht="12.75">
      <c r="A84" s="11"/>
      <c r="B84" s="79"/>
      <c r="C84" s="79"/>
      <c r="D84" s="80"/>
      <c r="E84" s="79"/>
      <c r="F84" s="79"/>
      <c r="G84" s="80"/>
      <c r="H84" s="81"/>
      <c r="I84" s="81"/>
      <c r="J84" s="79"/>
    </row>
    <row r="85" spans="1:10" ht="12.75">
      <c r="A85" s="11" t="s">
        <v>43</v>
      </c>
      <c r="B85" s="79">
        <v>1451</v>
      </c>
      <c r="C85" s="79">
        <v>713</v>
      </c>
      <c r="D85" s="80">
        <v>738</v>
      </c>
      <c r="E85" s="79">
        <v>1184</v>
      </c>
      <c r="F85" s="79">
        <v>601</v>
      </c>
      <c r="G85" s="80">
        <v>583</v>
      </c>
      <c r="H85" s="81">
        <f>B85-E85</f>
        <v>267</v>
      </c>
      <c r="I85" s="81">
        <f>C85-F85</f>
        <v>112</v>
      </c>
      <c r="J85" s="79">
        <f>D85-G85</f>
        <v>155</v>
      </c>
    </row>
    <row r="86" spans="1:10" ht="12.75">
      <c r="A86" s="11"/>
      <c r="B86" s="79"/>
      <c r="C86" s="79"/>
      <c r="D86" s="80"/>
      <c r="E86" s="79"/>
      <c r="F86" s="79"/>
      <c r="G86" s="80"/>
      <c r="H86" s="81"/>
      <c r="I86" s="81"/>
      <c r="J86" s="79"/>
    </row>
    <row r="87" spans="1:10" ht="12.75">
      <c r="A87" s="11" t="s">
        <v>44</v>
      </c>
      <c r="B87" s="79">
        <v>283</v>
      </c>
      <c r="C87" s="79">
        <v>130</v>
      </c>
      <c r="D87" s="80">
        <v>153</v>
      </c>
      <c r="E87" s="79">
        <v>194</v>
      </c>
      <c r="F87" s="79">
        <v>103</v>
      </c>
      <c r="G87" s="80">
        <v>91</v>
      </c>
      <c r="H87" s="81">
        <f>B87-E87</f>
        <v>89</v>
      </c>
      <c r="I87" s="81">
        <f>C87-F87</f>
        <v>27</v>
      </c>
      <c r="J87" s="79">
        <f>D87-G87</f>
        <v>62</v>
      </c>
    </row>
    <row r="88" spans="1:10" ht="12.75">
      <c r="A88" s="11"/>
      <c r="B88" s="79"/>
      <c r="C88" s="79"/>
      <c r="D88" s="80"/>
      <c r="E88" s="79"/>
      <c r="F88" s="79"/>
      <c r="G88" s="80"/>
      <c r="H88" s="81"/>
      <c r="I88" s="81"/>
      <c r="J88" s="79"/>
    </row>
    <row r="89" spans="1:10" ht="12.75">
      <c r="A89" s="11" t="s">
        <v>45</v>
      </c>
      <c r="B89" s="79">
        <v>41</v>
      </c>
      <c r="C89" s="79">
        <v>20</v>
      </c>
      <c r="D89" s="80">
        <v>21</v>
      </c>
      <c r="E89" s="79">
        <v>34</v>
      </c>
      <c r="F89" s="79">
        <v>15</v>
      </c>
      <c r="G89" s="80">
        <v>19</v>
      </c>
      <c r="H89" s="81">
        <f>B89-E89</f>
        <v>7</v>
      </c>
      <c r="I89" s="81">
        <f>C89-F89</f>
        <v>5</v>
      </c>
      <c r="J89" s="79">
        <f>D89-G89</f>
        <v>2</v>
      </c>
    </row>
    <row r="90" spans="1:10" ht="12.75">
      <c r="A90" s="11"/>
      <c r="B90" s="79"/>
      <c r="C90" s="79"/>
      <c r="D90" s="80"/>
      <c r="E90" s="79"/>
      <c r="F90" s="79"/>
      <c r="G90" s="80"/>
      <c r="H90" s="81"/>
      <c r="I90" s="81"/>
      <c r="J90" s="79"/>
    </row>
    <row r="91" spans="1:10" ht="12.75">
      <c r="A91" s="11" t="s">
        <v>46</v>
      </c>
      <c r="B91" s="79">
        <v>254</v>
      </c>
      <c r="C91" s="79">
        <v>122</v>
      </c>
      <c r="D91" s="80">
        <v>132</v>
      </c>
      <c r="E91" s="79">
        <v>158</v>
      </c>
      <c r="F91" s="79">
        <v>79</v>
      </c>
      <c r="G91" s="80">
        <v>79</v>
      </c>
      <c r="H91" s="81">
        <f>B91-E91</f>
        <v>96</v>
      </c>
      <c r="I91" s="81">
        <f>C91-F91</f>
        <v>43</v>
      </c>
      <c r="J91" s="79">
        <f>D91-G91</f>
        <v>53</v>
      </c>
    </row>
    <row r="92" spans="1:10" ht="12.75">
      <c r="A92" s="11"/>
      <c r="B92" s="79"/>
      <c r="C92" s="79"/>
      <c r="D92" s="80"/>
      <c r="E92" s="79"/>
      <c r="F92" s="79"/>
      <c r="G92" s="80"/>
      <c r="H92" s="81"/>
      <c r="I92" s="81"/>
      <c r="J92" s="79"/>
    </row>
    <row r="93" spans="1:10" ht="12.75">
      <c r="A93" s="11" t="s">
        <v>47</v>
      </c>
      <c r="B93" s="79">
        <v>250</v>
      </c>
      <c r="C93" s="79">
        <v>143</v>
      </c>
      <c r="D93" s="80">
        <v>107</v>
      </c>
      <c r="E93" s="79">
        <v>153</v>
      </c>
      <c r="F93" s="79">
        <v>87</v>
      </c>
      <c r="G93" s="80">
        <v>66</v>
      </c>
      <c r="H93" s="81">
        <f>B93-E93</f>
        <v>97</v>
      </c>
      <c r="I93" s="81">
        <f>C93-F93</f>
        <v>56</v>
      </c>
      <c r="J93" s="79">
        <f>D93-G93</f>
        <v>41</v>
      </c>
    </row>
    <row r="94" spans="1:10" ht="12.75">
      <c r="A94" s="11"/>
      <c r="B94" s="79"/>
      <c r="C94" s="79"/>
      <c r="D94" s="80"/>
      <c r="E94" s="79"/>
      <c r="F94" s="79"/>
      <c r="G94" s="80"/>
      <c r="H94" s="81"/>
      <c r="I94" s="81"/>
      <c r="J94" s="79"/>
    </row>
    <row r="95" spans="1:10" ht="12.75">
      <c r="A95" s="11" t="s">
        <v>48</v>
      </c>
      <c r="B95" s="79">
        <v>149</v>
      </c>
      <c r="C95" s="79">
        <v>65</v>
      </c>
      <c r="D95" s="80">
        <v>84</v>
      </c>
      <c r="E95" s="79">
        <v>64</v>
      </c>
      <c r="F95" s="79">
        <v>35</v>
      </c>
      <c r="G95" s="80">
        <v>29</v>
      </c>
      <c r="H95" s="81">
        <f>B95-E95</f>
        <v>85</v>
      </c>
      <c r="I95" s="81">
        <f>C95-F95</f>
        <v>30</v>
      </c>
      <c r="J95" s="79">
        <f>D95-G95</f>
        <v>55</v>
      </c>
    </row>
    <row r="96" spans="1:10" ht="12.75" customHeight="1">
      <c r="A96" s="11"/>
      <c r="B96" s="79"/>
      <c r="C96" s="79"/>
      <c r="D96" s="80"/>
      <c r="E96" s="79"/>
      <c r="F96" s="79"/>
      <c r="G96" s="80"/>
      <c r="H96" s="81"/>
      <c r="I96" s="81"/>
      <c r="J96" s="79"/>
    </row>
    <row r="97" spans="1:10" ht="12.75">
      <c r="A97" s="11" t="s">
        <v>49</v>
      </c>
      <c r="B97" s="79">
        <f aca="true" t="shared" si="6" ref="B97:G97">B67+B69+B71+B73+B75+B77+B79+B81+B83+B85+B87+B89+B91+B93+B95</f>
        <v>13968</v>
      </c>
      <c r="C97" s="79">
        <f t="shared" si="6"/>
        <v>7031</v>
      </c>
      <c r="D97" s="80">
        <f t="shared" si="6"/>
        <v>6937</v>
      </c>
      <c r="E97" s="79">
        <f t="shared" si="6"/>
        <v>12797</v>
      </c>
      <c r="F97" s="79">
        <f t="shared" si="6"/>
        <v>6686</v>
      </c>
      <c r="G97" s="80">
        <f t="shared" si="6"/>
        <v>6111</v>
      </c>
      <c r="H97" s="81">
        <f>B97-E97</f>
        <v>1171</v>
      </c>
      <c r="I97" s="81">
        <f>C97-F97</f>
        <v>345</v>
      </c>
      <c r="J97" s="79">
        <f>D97-G97</f>
        <v>826</v>
      </c>
    </row>
    <row r="98" spans="1:10" ht="12.75" customHeight="1">
      <c r="A98" s="11"/>
      <c r="B98" s="79"/>
      <c r="C98" s="79"/>
      <c r="D98" s="80"/>
      <c r="E98" s="79"/>
      <c r="F98" s="79"/>
      <c r="G98" s="80"/>
      <c r="H98" s="81"/>
      <c r="I98" s="81"/>
      <c r="J98" s="79"/>
    </row>
    <row r="99" spans="1:10" ht="12.75">
      <c r="A99" s="11" t="s">
        <v>72</v>
      </c>
      <c r="B99" s="79">
        <f>3168+15</f>
        <v>3183</v>
      </c>
      <c r="C99" s="79">
        <f>12+1855</f>
        <v>1867</v>
      </c>
      <c r="D99" s="80">
        <f>3+1313</f>
        <v>1316</v>
      </c>
      <c r="E99" s="79">
        <f>3358+2</f>
        <v>3360</v>
      </c>
      <c r="F99" s="79">
        <f>2+2143</f>
        <v>2145</v>
      </c>
      <c r="G99" s="80">
        <v>1215</v>
      </c>
      <c r="H99" s="85">
        <v>177</v>
      </c>
      <c r="I99" s="85">
        <v>278</v>
      </c>
      <c r="J99" s="79">
        <f>D99-G99</f>
        <v>101</v>
      </c>
    </row>
    <row r="100" spans="1:10" ht="12.75">
      <c r="A100" s="4"/>
      <c r="B100" s="79"/>
      <c r="C100" s="79"/>
      <c r="D100" s="80"/>
      <c r="E100" s="79"/>
      <c r="F100" s="79"/>
      <c r="G100" s="80"/>
      <c r="H100" s="81"/>
      <c r="I100" s="81"/>
      <c r="J100" s="79"/>
    </row>
    <row r="101" spans="1:10" ht="12.75">
      <c r="A101" s="12" t="s">
        <v>67</v>
      </c>
      <c r="B101" s="82">
        <f aca="true" t="shared" si="7" ref="B101:G101">B97+B99</f>
        <v>17151</v>
      </c>
      <c r="C101" s="82">
        <f t="shared" si="7"/>
        <v>8898</v>
      </c>
      <c r="D101" s="83">
        <f t="shared" si="7"/>
        <v>8253</v>
      </c>
      <c r="E101" s="82">
        <f t="shared" si="7"/>
        <v>16157</v>
      </c>
      <c r="F101" s="82">
        <f t="shared" si="7"/>
        <v>8831</v>
      </c>
      <c r="G101" s="83">
        <f t="shared" si="7"/>
        <v>7326</v>
      </c>
      <c r="H101" s="84">
        <f>B101-E101</f>
        <v>994</v>
      </c>
      <c r="I101" s="84">
        <f>C101-F101</f>
        <v>67</v>
      </c>
      <c r="J101" s="82">
        <f>D101-G101</f>
        <v>927</v>
      </c>
    </row>
    <row r="102" ht="14.25">
      <c r="A102" s="49"/>
    </row>
  </sheetData>
  <mergeCells count="32">
    <mergeCell ref="J64:J65"/>
    <mergeCell ref="A2:J2"/>
    <mergeCell ref="A3:J3"/>
    <mergeCell ref="A59:J59"/>
    <mergeCell ref="A55:J55"/>
    <mergeCell ref="A56:J56"/>
    <mergeCell ref="H9:J10"/>
    <mergeCell ref="H11:H12"/>
    <mergeCell ref="A6:J6"/>
    <mergeCell ref="B11:B12"/>
    <mergeCell ref="A9:A12"/>
    <mergeCell ref="B9:D10"/>
    <mergeCell ref="E9:G10"/>
    <mergeCell ref="C11:C12"/>
    <mergeCell ref="D11:D12"/>
    <mergeCell ref="E11:E12"/>
    <mergeCell ref="F11:F12"/>
    <mergeCell ref="E64:E65"/>
    <mergeCell ref="H64:H65"/>
    <mergeCell ref="I64:I65"/>
    <mergeCell ref="F64:F65"/>
    <mergeCell ref="G64:G65"/>
    <mergeCell ref="A62:A65"/>
    <mergeCell ref="B64:B65"/>
    <mergeCell ref="C64:C65"/>
    <mergeCell ref="D64:D65"/>
    <mergeCell ref="B62:D63"/>
    <mergeCell ref="E62:G63"/>
    <mergeCell ref="I11:I12"/>
    <mergeCell ref="J11:J12"/>
    <mergeCell ref="H62:J63"/>
    <mergeCell ref="G11:G12"/>
  </mergeCells>
  <printOptions horizontalCentered="1"/>
  <pageMargins left="0.3937007874015748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III 1 - vj 1/04</dc:title>
  <dc:subject>Die Wanderungen im 1. Vierteljahr 2003 und 2004</dc:subject>
  <dc:creator>KaiserSa</dc:creator>
  <cp:keywords/>
  <dc:description/>
  <cp:lastModifiedBy>jaehnere</cp:lastModifiedBy>
  <cp:lastPrinted>2006-05-16T07:16:25Z</cp:lastPrinted>
  <dcterms:created xsi:type="dcterms:W3CDTF">2005-11-28T09:08:24Z</dcterms:created>
  <dcterms:modified xsi:type="dcterms:W3CDTF">2006-05-16T11:37:18Z</dcterms:modified>
  <cp:category/>
  <cp:version/>
  <cp:contentType/>
  <cp:contentStatus/>
</cp:coreProperties>
</file>