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6030" activeTab="3"/>
  </bookViews>
  <sheets>
    <sheet name="A_III_1_vj" sheetId="1" r:id="rId1"/>
    <sheet name="Tabelle 1" sheetId="2" r:id="rId2"/>
    <sheet name="Tabelle 2" sheetId="3" r:id="rId3"/>
    <sheet name="Tabelle 3" sheetId="4" r:id="rId4"/>
    <sheet name="noch Tabelle 3" sheetId="5" r:id="rId5"/>
  </sheets>
  <externalReferences>
    <externalReference r:id="rId8"/>
  </externalReferences>
  <definedNames>
    <definedName name="QJ">'[1]AIII1Q Tab1 Übersicht'!$E$5</definedName>
  </definedNames>
  <calcPr fullCalcOnLoad="1"/>
</workbook>
</file>

<file path=xl/sharedStrings.xml><?xml version="1.0" encoding="utf-8"?>
<sst xmlns="http://schemas.openxmlformats.org/spreadsheetml/2006/main" count="186" uniqueCount="115">
  <si>
    <t>1. Übersicht</t>
  </si>
  <si>
    <t xml:space="preserve"> </t>
  </si>
  <si>
    <t>insgesamt</t>
  </si>
  <si>
    <t xml:space="preserve">männlich </t>
  </si>
  <si>
    <t>weiblich</t>
  </si>
  <si>
    <t>über die Landesgrenze</t>
  </si>
  <si>
    <t>Zuzüge</t>
  </si>
  <si>
    <t>Fortzüge</t>
  </si>
  <si>
    <t>Kreis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</si>
  <si>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</si>
  <si>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</si>
  <si>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</si>
  <si>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</si>
  <si>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</si>
  <si>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</si>
  <si>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</si>
  <si>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</si>
  <si>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</si>
  <si>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</si>
  <si>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</si>
  <si>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</si>
  <si>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</si>
  <si>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</si>
  <si>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</si>
  <si>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</si>
  <si>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</si>
  <si>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nach Herkunfts- und Zielgebiet</t>
  </si>
  <si>
    <t>Herkunfts-</t>
  </si>
  <si>
    <t xml:space="preserve"> bzw. Zielgebiet</t>
  </si>
  <si>
    <t>männlich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</si>
  <si>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</si>
  <si>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</si>
  <si>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</si>
  <si>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</si>
  <si>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</si>
  <si>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</si>
  <si>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</si>
  <si>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</si>
  <si>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</si>
  <si>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</si>
  <si>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</si>
  <si>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</si>
  <si>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</si>
  <si>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</si>
  <si>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</si>
  <si>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Harburg</t>
  </si>
  <si>
    <t>Stade</t>
  </si>
  <si>
    <t>Merkmal</t>
  </si>
  <si>
    <t xml:space="preserve">Zuzüge </t>
  </si>
  <si>
    <t xml:space="preserve">Fortzüge </t>
  </si>
  <si>
    <t>Saldo</t>
  </si>
  <si>
    <t>Umzüge zwischen Ortsteilen innerhalb Hamburgs</t>
  </si>
  <si>
    <t>Umzüge zwischen Gemeinden innerhalb Schleswig-Holsteins</t>
  </si>
  <si>
    <t>Hinweis:</t>
  </si>
  <si>
    <t xml:space="preserve">Bundeszahlen veröffentlicht das Statistische Bundesamt in seiner Fachserie 1 "Bevölkerung und Erwerbstätigkeit", Reihe 1 "Gebiet und Bevölkerung". </t>
  </si>
  <si>
    <t xml:space="preserve">Rechtsgrundlage: </t>
  </si>
  <si>
    <t>Hamburg-Mitte</t>
  </si>
  <si>
    <t>Altona</t>
  </si>
  <si>
    <t>Eimsbüttel</t>
  </si>
  <si>
    <t>Hamburg-Nord</t>
  </si>
  <si>
    <t>Wandsbek</t>
  </si>
  <si>
    <t>Bergedorf</t>
  </si>
  <si>
    <t>Kreisfreie Städte zusammen</t>
  </si>
  <si>
    <t>Kreise zusammen</t>
  </si>
  <si>
    <t xml:space="preserve">   Schleswig-Holstein: über die Gemeindegrenzen.</t>
  </si>
  <si>
    <t>Bezirk
Kreisfreie Stadt</t>
  </si>
  <si>
    <r>
      <t xml:space="preserve">1  </t>
    </r>
    <r>
      <rPr>
        <sz val="7"/>
        <rFont val="Arial"/>
        <family val="2"/>
      </rPr>
      <t>Hamburg: über die Ortsteilsgrenzen.</t>
    </r>
  </si>
  <si>
    <t>Anstalt des öffentlichen Rechts</t>
  </si>
  <si>
    <t>D-20457 Hamburg, Steckelhörn 12</t>
  </si>
  <si>
    <t>D-24113 Kiel, Fröbelstraße 15-17</t>
  </si>
  <si>
    <t>Ausland</t>
  </si>
  <si>
    <t>Insgesamt</t>
  </si>
  <si>
    <t>nachrichtlich: Umland</t>
  </si>
  <si>
    <t>Hzgt. Lauenburg</t>
  </si>
  <si>
    <t>Landkreis Harburg</t>
  </si>
  <si>
    <t>Wanderungsgewinn oder -verlust (-)</t>
  </si>
  <si>
    <t>Statistisches Amt für Hamburg und Schleswig-Holstein</t>
  </si>
  <si>
    <t>www.statistik-nord.de</t>
  </si>
  <si>
    <t>Standort Hamburg:</t>
  </si>
  <si>
    <t>Standort Kiel: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</si>
  <si>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</si>
  <si>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</si>
  <si>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</si>
  <si>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</si>
  <si>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</si>
  <si>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</si>
  <si>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</si>
  <si>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</si>
  <si>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</si>
  <si>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</si>
  <si>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</si>
  <si>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</si>
  <si>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</si>
  <si>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</si>
  <si>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</si>
  <si>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</si>
  <si>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</si>
  <si>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</si>
  <si>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</si>
  <si>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Isolde Schlüter</t>
  </si>
  <si>
    <t>040 42831-1754</t>
  </si>
  <si>
    <t>Deutschland</t>
  </si>
  <si>
    <t>Isolde.Schlueter@statistik-nord.de</t>
  </si>
  <si>
    <t>A III 1-vj 2/10</t>
  </si>
  <si>
    <t>Die Wanderungen im 2. Vierteljahr 2010</t>
  </si>
  <si>
    <t>AIII 1 - vj 2/10 / Die Wanderungen in Hamburg und Schleswig-Holstein im 2. Vierteljahr 2010</t>
  </si>
  <si>
    <t>2. Vierteljahr 2009</t>
  </si>
  <si>
    <t>2. Vierteljahr 2010</t>
  </si>
  <si>
    <t xml:space="preserve">2. Zu- und Fortzüge im 2. Vierteljahr 2010 </t>
  </si>
  <si>
    <t xml:space="preserve">3. Zu- und Fortzüge über die Landesgrenze im 2. Vierteljahr 2010 </t>
  </si>
  <si>
    <r>
      <t>Noch:</t>
    </r>
    <r>
      <rPr>
        <b/>
        <sz val="10"/>
        <rFont val="Arial"/>
        <family val="2"/>
      </rPr>
      <t xml:space="preserve"> 3. Zu- und Fortzüge über die Landesgrenze im 2. Vierteljahr 2010 </t>
    </r>
  </si>
  <si>
    <t>Gesetz über die Statistik der Bevölkerungsbewegung und die Fortschreibung des Bevölkerungsstandes in der Fassung der Bekanntmachung vom 14. März 1980 (BGBl. I S.308), das zuletzt durch Artikel 1 des Gesetzes vom vom 18. Juli 2008 (BGBl. I S. 1290) geändert wurde.</t>
  </si>
  <si>
    <r>
      <t>innerhalb des Landes</t>
    </r>
    <r>
      <rPr>
        <vertAlign val="superscript"/>
        <sz val="10"/>
        <rFont val="Arial"/>
        <family val="2"/>
      </rPr>
      <t xml:space="preserve"> 1</t>
    </r>
  </si>
  <si>
    <r>
      <t xml:space="preserve">innerhalb des Landes </t>
    </r>
    <r>
      <rPr>
        <vertAlign val="superscript"/>
        <sz val="10"/>
        <rFont val="Arial"/>
        <family val="2"/>
      </rPr>
      <t>1</t>
    </r>
  </si>
  <si>
    <t>Wanderungs-gewinn
oder -verlust (-)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</si>
</sst>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#,##0;\-\ #,##0;\–"/>
    <numFmt numFmtId="166" formatCode="0.0;\-\ 0.0"/>
    <numFmt numFmtId="167" formatCode="#\ ###\ ###\ "/>
    <numFmt numFmtId="168" formatCode="####\ ###\ ###\ "/>
    <numFmt numFmtId="169" formatCode="####\ ###\ ###"/>
    <numFmt numFmtId="170" formatCode="\ #,##0"/>
    <numFmt numFmtId="171" formatCode="[$-407]d/\ mmmm\ yyyy;@"/>
    <numFmt numFmtId="172" formatCode="d/\ mmmm\ yyyy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.5"/>
      <name val="Arial"/>
      <family val="0"/>
    </font>
    <font>
      <sz val="7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2" fillId="24" borderId="10" xfId="54" applyFont="1" applyFill="1" applyBorder="1" applyAlignment="1" applyProtection="1">
      <alignment/>
      <protection hidden="1"/>
    </xf>
    <xf numFmtId="0" fontId="2" fillId="7" borderId="11" xfId="54" applyFont="1" applyFill="1" applyBorder="1" applyAlignment="1" applyProtection="1">
      <alignment/>
      <protection hidden="1"/>
    </xf>
    <xf numFmtId="0" fontId="0" fillId="7" borderId="11" xfId="54" applyFont="1" applyFill="1" applyBorder="1" applyAlignment="1" applyProtection="1">
      <alignment/>
      <protection hidden="1"/>
    </xf>
    <xf numFmtId="0" fontId="0" fillId="7" borderId="12" xfId="54" applyFont="1" applyFill="1" applyBorder="1" applyAlignment="1" applyProtection="1">
      <alignment/>
      <protection hidden="1"/>
    </xf>
    <xf numFmtId="0" fontId="0" fillId="24" borderId="13" xfId="54" applyFont="1" applyFill="1" applyBorder="1" applyAlignment="1" applyProtection="1">
      <alignment/>
      <protection hidden="1"/>
    </xf>
    <xf numFmtId="0" fontId="0" fillId="7" borderId="0" xfId="54" applyFont="1" applyFill="1" applyBorder="1" applyAlignment="1" applyProtection="1">
      <alignment vertical="top"/>
      <protection hidden="1"/>
    </xf>
    <xf numFmtId="0" fontId="0" fillId="7" borderId="0" xfId="54" applyFont="1" applyFill="1" applyBorder="1" applyAlignment="1" applyProtection="1">
      <alignment/>
      <protection hidden="1"/>
    </xf>
    <xf numFmtId="0" fontId="0" fillId="7" borderId="14" xfId="54" applyFont="1" applyFill="1" applyBorder="1" applyAlignment="1" applyProtection="1">
      <alignment/>
      <protection hidden="1"/>
    </xf>
    <xf numFmtId="0" fontId="8" fillId="24" borderId="15" xfId="49" applyFont="1" applyFill="1" applyBorder="1" applyAlignment="1" applyProtection="1">
      <alignment horizontal="left"/>
      <protection hidden="1"/>
    </xf>
    <xf numFmtId="0" fontId="8" fillId="7" borderId="16" xfId="49" applyFont="1" applyFill="1" applyBorder="1" applyAlignment="1" applyProtection="1">
      <alignment horizontal="left"/>
      <protection hidden="1"/>
    </xf>
    <xf numFmtId="0" fontId="0" fillId="7" borderId="16" xfId="54" applyFont="1" applyFill="1" applyBorder="1" applyAlignment="1" applyProtection="1">
      <alignment/>
      <protection hidden="1"/>
    </xf>
    <xf numFmtId="0" fontId="0" fillId="7" borderId="17" xfId="54" applyFont="1" applyFill="1" applyBorder="1" applyAlignment="1" applyProtection="1">
      <alignment/>
      <protection hidden="1"/>
    </xf>
    <xf numFmtId="0" fontId="0" fillId="7" borderId="10" xfId="54" applyFont="1" applyFill="1" applyBorder="1" applyProtection="1">
      <alignment/>
      <protection hidden="1"/>
    </xf>
    <xf numFmtId="0" fontId="0" fillId="7" borderId="11" xfId="54" applyFont="1" applyFill="1" applyBorder="1" applyProtection="1">
      <alignment/>
      <protection hidden="1"/>
    </xf>
    <xf numFmtId="0" fontId="0" fillId="7" borderId="12" xfId="54" applyFont="1" applyFill="1" applyBorder="1" applyProtection="1">
      <alignment/>
      <protection hidden="1"/>
    </xf>
    <xf numFmtId="0" fontId="0" fillId="7" borderId="13" xfId="54" applyFont="1" applyFill="1" applyBorder="1" applyProtection="1">
      <alignment/>
      <protection hidden="1"/>
    </xf>
    <xf numFmtId="0" fontId="0" fillId="7" borderId="0" xfId="54" applyFont="1" applyFill="1" applyBorder="1" applyProtection="1">
      <alignment/>
      <protection hidden="1"/>
    </xf>
    <xf numFmtId="0" fontId="0" fillId="7" borderId="14" xfId="54" applyFont="1" applyFill="1" applyBorder="1" applyProtection="1">
      <alignment/>
      <protection hidden="1"/>
    </xf>
    <xf numFmtId="49" fontId="0" fillId="7" borderId="0" xfId="54" applyNumberFormat="1" applyFont="1" applyFill="1" applyBorder="1" applyProtection="1">
      <alignment/>
      <protection hidden="1"/>
    </xf>
    <xf numFmtId="0" fontId="0" fillId="7" borderId="0" xfId="54" applyFont="1" applyFill="1" applyBorder="1" applyProtection="1" quotePrefix="1">
      <alignment/>
      <protection hidden="1"/>
    </xf>
    <xf numFmtId="0" fontId="0" fillId="7" borderId="15" xfId="54" applyFont="1" applyFill="1" applyBorder="1" applyProtection="1">
      <alignment/>
      <protection hidden="1"/>
    </xf>
    <xf numFmtId="0" fontId="0" fillId="7" borderId="16" xfId="54" applyFont="1" applyFill="1" applyBorder="1" applyProtection="1">
      <alignment/>
      <protection hidden="1"/>
    </xf>
    <xf numFmtId="0" fontId="2" fillId="7" borderId="13" xfId="54" applyFont="1" applyFill="1" applyBorder="1" applyAlignment="1" applyProtection="1">
      <alignment/>
      <protection hidden="1"/>
    </xf>
    <xf numFmtId="0" fontId="2" fillId="24" borderId="13" xfId="54" applyFont="1" applyFill="1" applyBorder="1" applyAlignment="1" applyProtection="1">
      <alignment/>
      <protection hidden="1"/>
    </xf>
    <xf numFmtId="0" fontId="0" fillId="24" borderId="0" xfId="54" applyFont="1" applyFill="1" applyBorder="1" applyProtection="1">
      <alignment/>
      <protection hidden="1"/>
    </xf>
    <xf numFmtId="0" fontId="2" fillId="24" borderId="0" xfId="54" applyFont="1" applyFill="1" applyBorder="1" applyAlignment="1" applyProtection="1">
      <alignment horizontal="centerContinuous"/>
      <protection hidden="1"/>
    </xf>
    <xf numFmtId="0" fontId="2" fillId="7" borderId="0" xfId="54" applyFont="1" applyFill="1" applyBorder="1" applyAlignment="1" applyProtection="1">
      <alignment horizontal="centerContinuous"/>
      <protection hidden="1"/>
    </xf>
    <xf numFmtId="0" fontId="2" fillId="7" borderId="14" xfId="54" applyFont="1" applyFill="1" applyBorder="1" applyAlignment="1" applyProtection="1">
      <alignment horizontal="centerContinuous"/>
      <protection hidden="1"/>
    </xf>
    <xf numFmtId="0" fontId="2" fillId="24" borderId="13" xfId="54" applyFont="1" applyFill="1" applyBorder="1" applyAlignment="1" applyProtection="1">
      <alignment horizontal="left"/>
      <protection hidden="1"/>
    </xf>
    <xf numFmtId="0" fontId="2" fillId="24" borderId="13" xfId="54" applyNumberFormat="1" applyFont="1" applyFill="1" applyBorder="1" applyAlignment="1" applyProtection="1">
      <alignment horizontal="left"/>
      <protection hidden="1"/>
    </xf>
    <xf numFmtId="0" fontId="0" fillId="7" borderId="0" xfId="54" applyFont="1" applyFill="1" applyProtection="1">
      <alignment/>
      <protection hidden="1"/>
    </xf>
    <xf numFmtId="0" fontId="10" fillId="24" borderId="17" xfId="49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horizontal="centerContinuous"/>
      <protection hidden="1"/>
    </xf>
    <xf numFmtId="0" fontId="0" fillId="0" borderId="19" xfId="0" applyFill="1" applyBorder="1" applyAlignment="1" applyProtection="1">
      <alignment horizontal="centerContinuous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2" xfId="0" applyFill="1" applyBorder="1" applyAlignment="1">
      <alignment wrapText="1"/>
    </xf>
    <xf numFmtId="3" fontId="0" fillId="0" borderId="0" xfId="0" applyNumberFormat="1" applyFill="1" applyBorder="1" applyAlignment="1" applyProtection="1">
      <alignment horizontal="centerContinuous"/>
      <protection hidden="1"/>
    </xf>
    <xf numFmtId="0" fontId="0" fillId="0" borderId="14" xfId="0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8" fontId="0" fillId="0" borderId="0" xfId="0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 applyProtection="1">
      <alignment horizontal="centerContinuous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12" xfId="0" applyFill="1" applyBorder="1" applyAlignment="1" applyProtection="1">
      <alignment horizontal="center" wrapText="1"/>
      <protection hidden="1"/>
    </xf>
    <xf numFmtId="0" fontId="0" fillId="0" borderId="18" xfId="0" applyFill="1" applyBorder="1" applyAlignment="1" applyProtection="1">
      <alignment horizontal="centerContinuous" vertical="center" wrapText="1"/>
      <protection hidden="1"/>
    </xf>
    <xf numFmtId="0" fontId="0" fillId="0" borderId="17" xfId="0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1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7" fontId="6" fillId="0" borderId="0" xfId="0" applyNumberFormat="1" applyFont="1" applyFill="1" applyAlignment="1">
      <alignment wrapText="1"/>
    </xf>
    <xf numFmtId="170" fontId="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 applyProtection="1">
      <alignment horizontal="centerContinuous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 wrapText="1"/>
      <protection/>
    </xf>
    <xf numFmtId="0" fontId="0" fillId="0" borderId="20" xfId="0" applyFill="1" applyBorder="1" applyAlignment="1">
      <alignment horizontal="centerContinuous"/>
    </xf>
    <xf numFmtId="167" fontId="3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67" fontId="6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wrapText="1"/>
    </xf>
    <xf numFmtId="3" fontId="2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19" xfId="0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Continuous" wrapText="1"/>
      <protection hidden="1"/>
    </xf>
    <xf numFmtId="167" fontId="6" fillId="0" borderId="0" xfId="0" applyNumberFormat="1" applyFont="1" applyFill="1" applyAlignment="1">
      <alignment wrapText="1"/>
    </xf>
    <xf numFmtId="170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0" fontId="10" fillId="7" borderId="16" xfId="48" applyFont="1" applyFill="1" applyBorder="1" applyAlignment="1" applyProtection="1">
      <alignment horizontal="left"/>
      <protection hidden="1"/>
    </xf>
    <xf numFmtId="0" fontId="10" fillId="7" borderId="16" xfId="49" applyFont="1" applyFill="1" applyBorder="1" applyAlignment="1" applyProtection="1">
      <alignment horizontal="left"/>
      <protection hidden="1"/>
    </xf>
    <xf numFmtId="0" fontId="10" fillId="7" borderId="17" xfId="49" applyFont="1" applyFill="1" applyBorder="1" applyAlignment="1" applyProtection="1">
      <alignment horizontal="left"/>
      <protection hidden="1"/>
    </xf>
    <xf numFmtId="49" fontId="0" fillId="24" borderId="11" xfId="54" applyNumberFormat="1" applyFont="1" applyFill="1" applyBorder="1" applyAlignment="1" applyProtection="1">
      <alignment horizontal="left"/>
      <protection locked="0"/>
    </xf>
    <xf numFmtId="49" fontId="0" fillId="24" borderId="12" xfId="54" applyNumberFormat="1" applyFont="1" applyFill="1" applyBorder="1" applyAlignment="1" applyProtection="1">
      <alignment horizontal="left"/>
      <protection locked="0"/>
    </xf>
    <xf numFmtId="172" fontId="0" fillId="24" borderId="19" xfId="54" applyNumberFormat="1" applyFont="1" applyFill="1" applyBorder="1" applyAlignment="1" applyProtection="1">
      <alignment horizontal="left"/>
      <protection locked="0"/>
    </xf>
    <xf numFmtId="172" fontId="0" fillId="24" borderId="21" xfId="54" applyNumberFormat="1" applyFont="1" applyFill="1" applyBorder="1" applyAlignment="1" applyProtection="1">
      <alignment horizontal="left"/>
      <protection locked="0"/>
    </xf>
    <xf numFmtId="0" fontId="0" fillId="7" borderId="15" xfId="54" applyFont="1" applyFill="1" applyBorder="1" applyAlignment="1" applyProtection="1">
      <alignment horizontal="left" vertical="top" wrapText="1"/>
      <protection hidden="1"/>
    </xf>
    <xf numFmtId="0" fontId="0" fillId="7" borderId="16" xfId="54" applyFont="1" applyFill="1" applyBorder="1" applyAlignment="1" applyProtection="1">
      <alignment horizontal="left" vertical="top" wrapText="1"/>
      <protection hidden="1"/>
    </xf>
    <xf numFmtId="0" fontId="0" fillId="7" borderId="17" xfId="54" applyFont="1" applyFill="1" applyBorder="1" applyAlignment="1" applyProtection="1">
      <alignment horizontal="left" vertical="top" wrapText="1"/>
      <protection hidden="1"/>
    </xf>
    <xf numFmtId="49" fontId="0" fillId="24" borderId="0" xfId="54" applyNumberFormat="1" applyFont="1" applyFill="1" applyBorder="1" applyAlignment="1" applyProtection="1">
      <alignment horizontal="left"/>
      <protection locked="0"/>
    </xf>
    <xf numFmtId="49" fontId="0" fillId="24" borderId="14" xfId="54" applyNumberFormat="1" applyFont="1" applyFill="1" applyBorder="1" applyAlignment="1" applyProtection="1">
      <alignment horizontal="left"/>
      <protection locked="0"/>
    </xf>
    <xf numFmtId="0" fontId="11" fillId="24" borderId="16" xfId="48" applyFill="1" applyBorder="1" applyAlignment="1" applyProtection="1">
      <alignment horizontal="left"/>
      <protection locked="0"/>
    </xf>
    <xf numFmtId="0" fontId="10" fillId="24" borderId="16" xfId="49" applyFont="1" applyFill="1" applyBorder="1" applyAlignment="1" applyProtection="1">
      <alignment horizontal="left"/>
      <protection locked="0"/>
    </xf>
    <xf numFmtId="0" fontId="0" fillId="7" borderId="10" xfId="54" applyFont="1" applyFill="1" applyBorder="1" applyAlignment="1" applyProtection="1">
      <alignment horizontal="left" vertical="top" wrapText="1"/>
      <protection hidden="1"/>
    </xf>
    <xf numFmtId="0" fontId="0" fillId="7" borderId="11" xfId="54" applyFont="1" applyFill="1" applyBorder="1" applyAlignment="1" applyProtection="1">
      <alignment horizontal="left" vertical="top" wrapText="1"/>
      <protection hidden="1"/>
    </xf>
    <xf numFmtId="0" fontId="0" fillId="7" borderId="12" xfId="54" applyFont="1" applyFill="1" applyBorder="1" applyAlignment="1" applyProtection="1">
      <alignment horizontal="left" vertical="top" wrapText="1"/>
      <protection hidden="1"/>
    </xf>
    <xf numFmtId="0" fontId="0" fillId="7" borderId="13" xfId="54" applyFont="1" applyFill="1" applyBorder="1" applyAlignment="1" applyProtection="1">
      <alignment horizontal="left" vertical="top" wrapText="1"/>
      <protection hidden="1"/>
    </xf>
    <xf numFmtId="0" fontId="0" fillId="7" borderId="0" xfId="54" applyFont="1" applyFill="1" applyBorder="1" applyAlignment="1" applyProtection="1">
      <alignment horizontal="left" vertical="top" wrapText="1"/>
      <protection hidden="1"/>
    </xf>
    <xf numFmtId="0" fontId="0" fillId="7" borderId="14" xfId="54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Alignment="1">
      <alignment horizontal="lef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Neutral" xfId="50"/>
    <cellStyle name="Notiz" xfId="51"/>
    <cellStyle name="Percent" xfId="52"/>
    <cellStyle name="Schlecht" xfId="53"/>
    <cellStyle name="Standard_A_I_2_vj061_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" name="Picture 2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kaisersa\Lokale%20Einstellungen\Temporary%20Internet%20Files\OLKAF0\A_III_1_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II1Q Tab1 Übersicht"/>
      <sheetName val="AIII1Q Tab2 ZuFort Kreise"/>
      <sheetName val="AIII1Q Tab3 ZuFort KreiseMonate"/>
      <sheetName val="AIII1Q Tab4 ZuFort HerkunftZiel"/>
      <sheetName val="AIII1Q Text"/>
    </sheetNames>
    <sheetDataSet>
      <sheetData sheetId="0">
        <row r="5">
          <cell r="E5" t="str">
            <v>1. Vierteljahr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8.421875" style="0" customWidth="1"/>
    <col min="2" max="2" width="18.28125" style="0" customWidth="1"/>
  </cols>
  <sheetData>
    <row r="1" spans="1:8" ht="12.75">
      <c r="A1" s="2"/>
      <c r="B1" s="3" t="s">
        <v>76</v>
      </c>
      <c r="C1" s="4"/>
      <c r="D1" s="4"/>
      <c r="E1" s="4"/>
      <c r="F1" s="4"/>
      <c r="G1" s="4"/>
      <c r="H1" s="5"/>
    </row>
    <row r="2" spans="1:8" ht="12.75">
      <c r="A2" s="6"/>
      <c r="B2" s="7" t="s">
        <v>67</v>
      </c>
      <c r="C2" s="8"/>
      <c r="D2" s="8"/>
      <c r="E2" s="8"/>
      <c r="F2" s="8"/>
      <c r="G2" s="8"/>
      <c r="H2" s="9"/>
    </row>
    <row r="3" spans="1:8" ht="12.75">
      <c r="A3" s="10"/>
      <c r="B3" s="11" t="s">
        <v>77</v>
      </c>
      <c r="C3" s="12"/>
      <c r="D3" s="12"/>
      <c r="E3" s="12"/>
      <c r="F3" s="12"/>
      <c r="G3" s="12"/>
      <c r="H3" s="13"/>
    </row>
    <row r="4" spans="1:8" ht="12.75">
      <c r="A4" s="14" t="s">
        <v>78</v>
      </c>
      <c r="B4" s="15" t="s">
        <v>68</v>
      </c>
      <c r="C4" s="15"/>
      <c r="D4" s="16"/>
      <c r="E4" s="15" t="s">
        <v>79</v>
      </c>
      <c r="F4" s="15" t="s">
        <v>69</v>
      </c>
      <c r="G4" s="15"/>
      <c r="H4" s="16"/>
    </row>
    <row r="5" spans="1:8" ht="12.75">
      <c r="A5" s="17" t="s">
        <v>80</v>
      </c>
      <c r="B5" s="18" t="s">
        <v>81</v>
      </c>
      <c r="C5" s="18"/>
      <c r="D5" s="19"/>
      <c r="E5" s="18" t="s">
        <v>80</v>
      </c>
      <c r="F5" s="18" t="s">
        <v>82</v>
      </c>
      <c r="G5" s="18"/>
      <c r="H5" s="19"/>
    </row>
    <row r="6" spans="1:8" ht="12.75">
      <c r="A6" s="17" t="s">
        <v>83</v>
      </c>
      <c r="B6" s="20" t="s">
        <v>84</v>
      </c>
      <c r="C6" s="18"/>
      <c r="D6" s="19"/>
      <c r="E6" s="18" t="s">
        <v>83</v>
      </c>
      <c r="F6" s="20" t="s">
        <v>85</v>
      </c>
      <c r="G6" s="21"/>
      <c r="H6" s="19"/>
    </row>
    <row r="7" spans="1:8" ht="12.75">
      <c r="A7" s="17" t="s">
        <v>86</v>
      </c>
      <c r="B7" s="20" t="s">
        <v>87</v>
      </c>
      <c r="C7" s="18"/>
      <c r="D7" s="19"/>
      <c r="E7" s="18" t="s">
        <v>86</v>
      </c>
      <c r="F7" s="20" t="s">
        <v>88</v>
      </c>
      <c r="G7" s="21"/>
      <c r="H7" s="19"/>
    </row>
    <row r="8" spans="1:8" ht="12.75">
      <c r="A8" s="22" t="s">
        <v>89</v>
      </c>
      <c r="B8" s="95" t="s">
        <v>90</v>
      </c>
      <c r="C8" s="96"/>
      <c r="D8" s="97"/>
      <c r="E8" s="23" t="s">
        <v>89</v>
      </c>
      <c r="F8" s="96" t="s">
        <v>91</v>
      </c>
      <c r="G8" s="96"/>
      <c r="H8" s="97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92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103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104</v>
      </c>
      <c r="B12" s="26"/>
      <c r="C12" s="27"/>
      <c r="D12" s="27"/>
      <c r="E12" s="27"/>
      <c r="F12" s="27"/>
      <c r="G12" s="28"/>
      <c r="H12" s="29"/>
    </row>
    <row r="13" spans="1:8" ht="12.75">
      <c r="A13" s="31"/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93</v>
      </c>
      <c r="B15" s="18"/>
      <c r="C15" s="32"/>
      <c r="D15" s="32"/>
      <c r="E15" s="32"/>
      <c r="F15" s="32"/>
      <c r="G15" s="18" t="s">
        <v>94</v>
      </c>
      <c r="H15" s="19"/>
    </row>
    <row r="16" spans="1:8" ht="12.75">
      <c r="A16" s="14" t="s">
        <v>95</v>
      </c>
      <c r="B16" s="98" t="s">
        <v>99</v>
      </c>
      <c r="C16" s="98"/>
      <c r="D16" s="98"/>
      <c r="E16" s="99"/>
      <c r="F16" s="32"/>
      <c r="G16" s="100">
        <v>40528</v>
      </c>
      <c r="H16" s="101"/>
    </row>
    <row r="17" spans="1:8" ht="12.75">
      <c r="A17" s="17" t="s">
        <v>83</v>
      </c>
      <c r="B17" s="105" t="s">
        <v>100</v>
      </c>
      <c r="C17" s="105"/>
      <c r="D17" s="105"/>
      <c r="E17" s="106"/>
      <c r="F17" s="18"/>
      <c r="G17" s="18"/>
      <c r="H17" s="19"/>
    </row>
    <row r="18" spans="1:8" ht="12.75">
      <c r="A18" s="22" t="s">
        <v>89</v>
      </c>
      <c r="B18" s="107" t="s">
        <v>102</v>
      </c>
      <c r="C18" s="108"/>
      <c r="D18" s="108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12.75">
      <c r="A20" s="109" t="s">
        <v>96</v>
      </c>
      <c r="B20" s="110"/>
      <c r="C20" s="110"/>
      <c r="D20" s="110"/>
      <c r="E20" s="110"/>
      <c r="F20" s="110"/>
      <c r="G20" s="110"/>
      <c r="H20" s="111"/>
    </row>
    <row r="21" spans="1:8" ht="12.75">
      <c r="A21" s="112" t="s">
        <v>97</v>
      </c>
      <c r="B21" s="113"/>
      <c r="C21" s="113"/>
      <c r="D21" s="113"/>
      <c r="E21" s="113"/>
      <c r="F21" s="113"/>
      <c r="G21" s="113"/>
      <c r="H21" s="114"/>
    </row>
    <row r="22" spans="1:8" ht="12.75">
      <c r="A22" s="102" t="s">
        <v>98</v>
      </c>
      <c r="B22" s="103"/>
      <c r="C22" s="103"/>
      <c r="D22" s="103"/>
      <c r="E22" s="103"/>
      <c r="F22" s="103"/>
      <c r="G22" s="103"/>
      <c r="H22" s="104"/>
    </row>
  </sheetData>
  <sheetProtection/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Isolde.Schlueter@statistik-nord.de"/>
    <hyperlink ref="B3" r:id="rId5" display="http://www.statistik-nord.de/"/>
  </hyperlinks>
  <printOptions/>
  <pageMargins left="0.75" right="0.75" top="1" bottom="1" header="0.4921259845" footer="0.4921259845"/>
  <pageSetup horizontalDpi="600" verticalDpi="600" orientation="portrait" paperSize="9" scale="82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6.57421875" style="35" customWidth="1"/>
    <col min="2" max="2" width="13.421875" style="35" customWidth="1"/>
    <col min="3" max="3" width="12.7109375" style="35" customWidth="1"/>
    <col min="4" max="4" width="13.00390625" style="35" customWidth="1"/>
    <col min="5" max="5" width="13.421875" style="35" customWidth="1"/>
    <col min="6" max="6" width="12.8515625" style="35" customWidth="1"/>
    <col min="7" max="7" width="13.00390625" style="35" customWidth="1"/>
    <col min="8" max="16384" width="11.421875" style="35" customWidth="1"/>
  </cols>
  <sheetData>
    <row r="1" spans="1:7" ht="12.75">
      <c r="A1" s="34" t="s">
        <v>105</v>
      </c>
      <c r="B1" s="34"/>
      <c r="C1" s="34"/>
      <c r="D1" s="34"/>
      <c r="E1" s="34"/>
      <c r="F1" s="34"/>
      <c r="G1" s="34"/>
    </row>
    <row r="2" spans="1:7" ht="12.75">
      <c r="A2" s="34"/>
      <c r="B2" s="34"/>
      <c r="C2" s="34"/>
      <c r="D2" s="34"/>
      <c r="E2" s="34"/>
      <c r="F2" s="34"/>
      <c r="G2" s="34"/>
    </row>
    <row r="3" spans="1:7" ht="12.75" customHeight="1">
      <c r="A3" s="68" t="s">
        <v>0</v>
      </c>
      <c r="B3" s="36"/>
      <c r="C3" s="36"/>
      <c r="D3" s="36"/>
      <c r="E3" s="36"/>
      <c r="F3" s="36"/>
      <c r="G3" s="36"/>
    </row>
    <row r="4" spans="1:7" ht="12.75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37"/>
      <c r="B5" s="38" t="s">
        <v>106</v>
      </c>
      <c r="C5" s="38"/>
      <c r="D5" s="38"/>
      <c r="E5" s="38" t="s">
        <v>107</v>
      </c>
      <c r="F5" s="38"/>
      <c r="G5" s="39"/>
    </row>
    <row r="6" spans="1:7" ht="12.75">
      <c r="A6" s="40" t="s">
        <v>47</v>
      </c>
      <c r="B6" s="41" t="s">
        <v>2</v>
      </c>
      <c r="C6" s="41" t="s">
        <v>3</v>
      </c>
      <c r="D6" s="41" t="s">
        <v>4</v>
      </c>
      <c r="E6" s="41" t="s">
        <v>2</v>
      </c>
      <c r="F6" s="41" t="s">
        <v>3</v>
      </c>
      <c r="G6" s="42" t="s">
        <v>4</v>
      </c>
    </row>
    <row r="7" spans="1:7" ht="12.75">
      <c r="A7" s="43"/>
      <c r="B7" s="89" t="s">
        <v>35</v>
      </c>
      <c r="C7" s="44"/>
      <c r="D7" s="44"/>
      <c r="E7" s="44"/>
      <c r="F7" s="44"/>
      <c r="G7" s="44"/>
    </row>
    <row r="8" spans="1:7" ht="12.75">
      <c r="A8" s="45" t="s">
        <v>48</v>
      </c>
      <c r="B8" s="46">
        <f>6476+5600+6472</f>
        <v>18548</v>
      </c>
      <c r="C8" s="46">
        <f>3399+3121+3464</f>
        <v>9984</v>
      </c>
      <c r="D8" s="46">
        <f>B8-C8</f>
        <v>8564</v>
      </c>
      <c r="E8" s="46">
        <f>6786+5871+6909</f>
        <v>19566</v>
      </c>
      <c r="F8" s="46">
        <f>3822+3172+3832</f>
        <v>10826</v>
      </c>
      <c r="G8" s="46">
        <f>E8-F8</f>
        <v>8740</v>
      </c>
    </row>
    <row r="9" spans="1:7" ht="12.75">
      <c r="A9" s="45" t="s">
        <v>49</v>
      </c>
      <c r="B9" s="46">
        <f>5255+4883+5577</f>
        <v>15715</v>
      </c>
      <c r="C9" s="46">
        <f>2832+2762+3045</f>
        <v>8639</v>
      </c>
      <c r="D9" s="46">
        <f>B9-C9</f>
        <v>7076</v>
      </c>
      <c r="E9" s="46">
        <f>6014+5307+6256</f>
        <v>17577</v>
      </c>
      <c r="F9" s="46">
        <f>3291+2939+3497</f>
        <v>9727</v>
      </c>
      <c r="G9" s="46">
        <f>E9-F9</f>
        <v>7850</v>
      </c>
    </row>
    <row r="10" spans="1:7" ht="12.75">
      <c r="A10" s="45" t="s">
        <v>50</v>
      </c>
      <c r="B10" s="46">
        <f aca="true" t="shared" si="0" ref="B10:G10">B8-B9</f>
        <v>2833</v>
      </c>
      <c r="C10" s="46">
        <f t="shared" si="0"/>
        <v>1345</v>
      </c>
      <c r="D10" s="46">
        <f t="shared" si="0"/>
        <v>1488</v>
      </c>
      <c r="E10" s="46">
        <f t="shared" si="0"/>
        <v>1989</v>
      </c>
      <c r="F10" s="46">
        <f t="shared" si="0"/>
        <v>1099</v>
      </c>
      <c r="G10" s="46">
        <f t="shared" si="0"/>
        <v>890</v>
      </c>
    </row>
    <row r="11" spans="1:7" ht="25.5">
      <c r="A11" s="45" t="s">
        <v>51</v>
      </c>
      <c r="B11" s="47">
        <f>8278+7722+8689</f>
        <v>24689</v>
      </c>
      <c r="C11" s="47">
        <f>4343+3829+4018</f>
        <v>12190</v>
      </c>
      <c r="D11" s="46">
        <f>B11-C11</f>
        <v>12499</v>
      </c>
      <c r="E11" s="47">
        <f>8176+7522+8186</f>
        <v>23884</v>
      </c>
      <c r="F11" s="47">
        <f>4109+3685+4062</f>
        <v>11856</v>
      </c>
      <c r="G11" s="46">
        <f>E11-F11</f>
        <v>12028</v>
      </c>
    </row>
    <row r="12" spans="1:7" ht="12.75">
      <c r="A12" s="48"/>
      <c r="B12" s="89" t="s">
        <v>25</v>
      </c>
      <c r="C12" s="44"/>
      <c r="D12" s="44"/>
      <c r="E12" s="44"/>
      <c r="F12" s="44"/>
      <c r="G12" s="44"/>
    </row>
    <row r="13" spans="1:7" ht="12.75">
      <c r="A13" s="45" t="s">
        <v>48</v>
      </c>
      <c r="B13" s="46">
        <f>5643+5019+5648</f>
        <v>16310</v>
      </c>
      <c r="C13" s="46">
        <f>2885+2685+2858</f>
        <v>8428</v>
      </c>
      <c r="D13" s="46">
        <f>B13-C13</f>
        <v>7882</v>
      </c>
      <c r="E13" s="46">
        <f>5874+5246+5734</f>
        <v>16854</v>
      </c>
      <c r="F13" s="46">
        <f>3082+2763+2939</f>
        <v>8784</v>
      </c>
      <c r="G13" s="46">
        <f>E13-F13</f>
        <v>8070</v>
      </c>
    </row>
    <row r="14" spans="1:7" ht="12.75">
      <c r="A14" s="45" t="s">
        <v>49</v>
      </c>
      <c r="B14" s="46">
        <f>5310+4811+5170</f>
        <v>15291</v>
      </c>
      <c r="C14" s="46">
        <f>2818+2595+2727</f>
        <v>8140</v>
      </c>
      <c r="D14" s="46">
        <f>B14-C14</f>
        <v>7151</v>
      </c>
      <c r="E14" s="46">
        <f>4885+4249+4660</f>
        <v>13794</v>
      </c>
      <c r="F14" s="46">
        <f>2552+2242+2431</f>
        <v>7225</v>
      </c>
      <c r="G14" s="46">
        <f>E14-F14</f>
        <v>6569</v>
      </c>
    </row>
    <row r="15" spans="1:7" ht="12.75">
      <c r="A15" s="45" t="s">
        <v>50</v>
      </c>
      <c r="B15" s="46">
        <f aca="true" t="shared" si="1" ref="B15:G15">B13-B14</f>
        <v>1019</v>
      </c>
      <c r="C15" s="46">
        <f t="shared" si="1"/>
        <v>288</v>
      </c>
      <c r="D15" s="46">
        <f t="shared" si="1"/>
        <v>731</v>
      </c>
      <c r="E15" s="46">
        <f t="shared" si="1"/>
        <v>3060</v>
      </c>
      <c r="F15" s="46">
        <f t="shared" si="1"/>
        <v>1559</v>
      </c>
      <c r="G15" s="46">
        <f t="shared" si="1"/>
        <v>1501</v>
      </c>
    </row>
    <row r="16" spans="1:7" ht="25.5">
      <c r="A16" s="49" t="s">
        <v>52</v>
      </c>
      <c r="B16" s="47">
        <f>9049+8235+8910</f>
        <v>26194</v>
      </c>
      <c r="C16" s="47">
        <f>4497+4041+4431</f>
        <v>12969</v>
      </c>
      <c r="D16" s="46">
        <f>B16-C16</f>
        <v>13225</v>
      </c>
      <c r="E16" s="47">
        <f>9224+8499+8547</f>
        <v>26270</v>
      </c>
      <c r="F16" s="47">
        <f>4605+4218+4247</f>
        <v>13070</v>
      </c>
      <c r="G16" s="46">
        <f>E16-F16</f>
        <v>13200</v>
      </c>
    </row>
    <row r="17" spans="1:7" ht="12.75">
      <c r="A17" s="1"/>
      <c r="B17" s="47"/>
      <c r="C17" s="47"/>
      <c r="D17" s="47"/>
      <c r="E17" s="47"/>
      <c r="F17" s="47"/>
      <c r="G17" s="47"/>
    </row>
    <row r="18" spans="1:7" ht="12.75">
      <c r="A18" s="1"/>
      <c r="B18" s="47"/>
      <c r="C18" s="47"/>
      <c r="D18" s="47"/>
      <c r="E18" s="47"/>
      <c r="F18" s="47"/>
      <c r="G18" s="47"/>
    </row>
    <row r="19" spans="1:7" ht="12.75">
      <c r="A19" s="50" t="s">
        <v>53</v>
      </c>
      <c r="B19" s="51"/>
      <c r="C19" s="51"/>
      <c r="D19" s="51"/>
      <c r="E19" s="51"/>
      <c r="F19" s="51"/>
      <c r="G19" s="51"/>
    </row>
    <row r="20" spans="1:7" ht="25.5">
      <c r="A20" s="52" t="s">
        <v>54</v>
      </c>
      <c r="B20" s="52"/>
      <c r="C20" s="52"/>
      <c r="D20" s="52"/>
      <c r="E20" s="52"/>
      <c r="F20" s="52"/>
      <c r="G20" s="52"/>
    </row>
    <row r="21" spans="1:7" ht="12.75">
      <c r="A21" s="51"/>
      <c r="B21" s="51"/>
      <c r="C21" s="51"/>
      <c r="D21" s="51"/>
      <c r="E21" s="51"/>
      <c r="F21" s="51"/>
      <c r="G21" s="51"/>
    </row>
    <row r="22" spans="1:7" ht="12.75">
      <c r="A22" s="50" t="s">
        <v>55</v>
      </c>
      <c r="B22" s="51"/>
      <c r="C22" s="51"/>
      <c r="D22" s="51"/>
      <c r="E22" s="51"/>
      <c r="F22" s="51"/>
      <c r="G22" s="51"/>
    </row>
    <row r="23" spans="1:7" ht="36" customHeight="1">
      <c r="A23" s="52" t="s">
        <v>111</v>
      </c>
      <c r="B23" s="52"/>
      <c r="C23" s="52"/>
      <c r="D23" s="52"/>
      <c r="E23" s="52"/>
      <c r="F23" s="52"/>
      <c r="G23" s="52"/>
    </row>
  </sheetData>
  <sheetProtection/>
  <printOptions/>
  <pageMargins left="0.75" right="0.75" top="1" bottom="1" header="0.4921259845" footer="0.492125984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3.00390625" style="51" customWidth="1"/>
    <col min="2" max="2" width="9.57421875" style="51" bestFit="1" customWidth="1"/>
    <col min="3" max="3" width="10.57421875" style="51" bestFit="1" customWidth="1"/>
    <col min="4" max="4" width="12.28125" style="51" customWidth="1"/>
    <col min="5" max="5" width="9.57421875" style="51" bestFit="1" customWidth="1"/>
    <col min="6" max="6" width="10.57421875" style="51" bestFit="1" customWidth="1"/>
    <col min="7" max="7" width="12.28125" style="51" customWidth="1"/>
    <col min="8" max="8" width="11.28125" style="51" customWidth="1"/>
    <col min="9" max="16384" width="11.421875" style="51" customWidth="1"/>
  </cols>
  <sheetData>
    <row r="1" spans="1:8" ht="12.75">
      <c r="A1" s="53" t="s">
        <v>105</v>
      </c>
      <c r="B1" s="53"/>
      <c r="C1" s="53"/>
      <c r="D1" s="53"/>
      <c r="E1" s="53"/>
      <c r="F1" s="53"/>
      <c r="G1" s="53"/>
      <c r="H1" s="53"/>
    </row>
    <row r="2" spans="1:8" ht="12.75">
      <c r="A2" s="54"/>
      <c r="B2" s="54"/>
      <c r="C2" s="54"/>
      <c r="D2" s="54"/>
      <c r="E2" s="54"/>
      <c r="F2" s="54"/>
      <c r="G2" s="54"/>
      <c r="H2" s="54"/>
    </row>
    <row r="3" spans="1:8" ht="12.75">
      <c r="A3" s="91" t="s">
        <v>108</v>
      </c>
      <c r="B3" s="53"/>
      <c r="C3" s="53"/>
      <c r="D3" s="53"/>
      <c r="E3" s="53"/>
      <c r="F3" s="53"/>
      <c r="G3" s="53"/>
      <c r="H3" s="53"/>
    </row>
    <row r="4" spans="1:8" ht="12.75">
      <c r="A4" s="54"/>
      <c r="B4" s="54"/>
      <c r="C4" s="54"/>
      <c r="D4" s="54"/>
      <c r="E4" s="54"/>
      <c r="F4" s="54"/>
      <c r="G4" s="54"/>
      <c r="H4" s="54"/>
    </row>
    <row r="5" spans="1:8" ht="51">
      <c r="A5" s="55" t="s">
        <v>65</v>
      </c>
      <c r="B5" s="56" t="s">
        <v>6</v>
      </c>
      <c r="C5" s="56"/>
      <c r="D5" s="56"/>
      <c r="E5" s="56" t="s">
        <v>7</v>
      </c>
      <c r="F5" s="56"/>
      <c r="G5" s="56"/>
      <c r="H5" s="90" t="s">
        <v>114</v>
      </c>
    </row>
    <row r="6" spans="1:8" ht="41.25">
      <c r="A6" s="57" t="s">
        <v>8</v>
      </c>
      <c r="B6" s="58" t="s">
        <v>2</v>
      </c>
      <c r="C6" s="59" t="s">
        <v>112</v>
      </c>
      <c r="D6" s="58" t="s">
        <v>5</v>
      </c>
      <c r="E6" s="58" t="s">
        <v>2</v>
      </c>
      <c r="F6" s="59" t="s">
        <v>113</v>
      </c>
      <c r="G6" s="58" t="s">
        <v>5</v>
      </c>
      <c r="H6" s="69" t="s">
        <v>9</v>
      </c>
    </row>
    <row r="7" spans="1:8" ht="12.75">
      <c r="A7" s="43"/>
      <c r="B7" s="60" t="s">
        <v>35</v>
      </c>
      <c r="C7" s="61"/>
      <c r="D7" s="61"/>
      <c r="E7" s="61"/>
      <c r="F7" s="61"/>
      <c r="G7" s="61"/>
      <c r="H7" s="61"/>
    </row>
    <row r="8" spans="1:8" ht="12.75">
      <c r="A8" s="62" t="s">
        <v>56</v>
      </c>
      <c r="B8" s="46">
        <f>C8+D8</f>
        <v>8367</v>
      </c>
      <c r="C8" s="46">
        <f>1274+1155+1267</f>
        <v>3696</v>
      </c>
      <c r="D8" s="46">
        <f>1775+1275+1621</f>
        <v>4671</v>
      </c>
      <c r="E8" s="46">
        <f>F8+G8</f>
        <v>8519</v>
      </c>
      <c r="F8" s="46">
        <f>1449+1280+1377</f>
        <v>4106</v>
      </c>
      <c r="G8" s="46">
        <f>1434+1293+1686</f>
        <v>4413</v>
      </c>
      <c r="H8" s="63">
        <f>B8-E8</f>
        <v>-152</v>
      </c>
    </row>
    <row r="9" spans="1:8" ht="12.75">
      <c r="A9" s="62" t="s">
        <v>57</v>
      </c>
      <c r="B9" s="46">
        <f aca="true" t="shared" si="0" ref="B9:B33">C9+D9</f>
        <v>6054</v>
      </c>
      <c r="C9" s="46">
        <f>1261+1084+1219</f>
        <v>3564</v>
      </c>
      <c r="D9" s="46">
        <f>865+740+885</f>
        <v>2490</v>
      </c>
      <c r="E9" s="46">
        <f aca="true" t="shared" si="1" ref="E9:E15">F9+G9</f>
        <v>5714</v>
      </c>
      <c r="F9" s="46">
        <f>1167+1035+1210</f>
        <v>3412</v>
      </c>
      <c r="G9" s="46">
        <f>737+687+878</f>
        <v>2302</v>
      </c>
      <c r="H9" s="63">
        <f aca="true" t="shared" si="2" ref="H9:H34">B9-E9</f>
        <v>340</v>
      </c>
    </row>
    <row r="10" spans="1:8" ht="12.75">
      <c r="A10" s="62" t="s">
        <v>58</v>
      </c>
      <c r="B10" s="46">
        <f t="shared" si="0"/>
        <v>6245</v>
      </c>
      <c r="C10" s="46">
        <f>1222+1095+1158</f>
        <v>3475</v>
      </c>
      <c r="D10" s="46">
        <f>906+858+1006</f>
        <v>2770</v>
      </c>
      <c r="E10" s="46">
        <f t="shared" si="1"/>
        <v>5890</v>
      </c>
      <c r="F10" s="46">
        <f>1144+1152+1156</f>
        <v>3452</v>
      </c>
      <c r="G10" s="46">
        <f>927+693+818</f>
        <v>2438</v>
      </c>
      <c r="H10" s="63">
        <f t="shared" si="2"/>
        <v>355</v>
      </c>
    </row>
    <row r="11" spans="1:8" ht="12.75">
      <c r="A11" s="62" t="s">
        <v>59</v>
      </c>
      <c r="B11" s="46">
        <f t="shared" si="0"/>
        <v>8372</v>
      </c>
      <c r="C11" s="46">
        <f>1610+1531+1598</f>
        <v>4739</v>
      </c>
      <c r="D11" s="46">
        <f>1232+1179+1222</f>
        <v>3633</v>
      </c>
      <c r="E11" s="46">
        <f t="shared" si="1"/>
        <v>8029</v>
      </c>
      <c r="F11" s="46">
        <f>1808+1666+1720</f>
        <v>5194</v>
      </c>
      <c r="G11" s="46">
        <f>999+895+941</f>
        <v>2835</v>
      </c>
      <c r="H11" s="63">
        <f t="shared" si="2"/>
        <v>343</v>
      </c>
    </row>
    <row r="12" spans="1:8" ht="12.75">
      <c r="A12" s="62" t="s">
        <v>60</v>
      </c>
      <c r="B12" s="46">
        <f t="shared" si="0"/>
        <v>8335</v>
      </c>
      <c r="C12" s="46">
        <f>1763+1613+1712</f>
        <v>5088</v>
      </c>
      <c r="D12" s="46">
        <f>1086+994+1167</f>
        <v>3247</v>
      </c>
      <c r="E12" s="46">
        <f t="shared" si="1"/>
        <v>7546</v>
      </c>
      <c r="F12" s="46">
        <f>1589+1431+1573</f>
        <v>4593</v>
      </c>
      <c r="G12" s="46">
        <f>1008+935+1010</f>
        <v>2953</v>
      </c>
      <c r="H12" s="63">
        <f t="shared" si="2"/>
        <v>789</v>
      </c>
    </row>
    <row r="13" spans="1:8" ht="12.75">
      <c r="A13" s="62" t="s">
        <v>61</v>
      </c>
      <c r="B13" s="46">
        <f t="shared" si="0"/>
        <v>2461</v>
      </c>
      <c r="C13" s="46">
        <f>416+464+549</f>
        <v>1429</v>
      </c>
      <c r="D13" s="46">
        <f>367+322+343</f>
        <v>1032</v>
      </c>
      <c r="E13" s="46">
        <f t="shared" si="1"/>
        <v>2212</v>
      </c>
      <c r="F13" s="46">
        <f>387+403+513</f>
        <v>1303</v>
      </c>
      <c r="G13" s="46">
        <f>297+289+323</f>
        <v>909</v>
      </c>
      <c r="H13" s="63">
        <f t="shared" si="2"/>
        <v>249</v>
      </c>
    </row>
    <row r="14" spans="1:8" ht="12.75">
      <c r="A14" s="62" t="s">
        <v>45</v>
      </c>
      <c r="B14" s="46">
        <f t="shared" si="0"/>
        <v>3616</v>
      </c>
      <c r="C14" s="46">
        <f>630+580+683</f>
        <v>1893</v>
      </c>
      <c r="D14" s="46">
        <f>555+503+665</f>
        <v>1723</v>
      </c>
      <c r="E14" s="46">
        <f t="shared" si="1"/>
        <v>3551</v>
      </c>
      <c r="F14" s="46">
        <f>632+555+637</f>
        <v>1824</v>
      </c>
      <c r="G14" s="46">
        <f>612+515+600</f>
        <v>1727</v>
      </c>
      <c r="H14" s="63">
        <f t="shared" si="2"/>
        <v>65</v>
      </c>
    </row>
    <row r="15" spans="1:8" ht="12.75">
      <c r="A15" s="64" t="s">
        <v>35</v>
      </c>
      <c r="B15" s="92">
        <f t="shared" si="0"/>
        <v>43450</v>
      </c>
      <c r="C15" s="65">
        <f>SUM(C8:C14)</f>
        <v>23884</v>
      </c>
      <c r="D15" s="65">
        <f>SUM(D8:D14)</f>
        <v>19566</v>
      </c>
      <c r="E15" s="92">
        <f t="shared" si="1"/>
        <v>41461</v>
      </c>
      <c r="F15" s="65">
        <f>SUM(F8:F14)</f>
        <v>23884</v>
      </c>
      <c r="G15" s="65">
        <f>SUM(G8:G14)</f>
        <v>17577</v>
      </c>
      <c r="H15" s="66">
        <f t="shared" si="2"/>
        <v>1989</v>
      </c>
    </row>
    <row r="16" spans="1:8" ht="12.75">
      <c r="A16" s="48"/>
      <c r="B16" s="61" t="s">
        <v>25</v>
      </c>
      <c r="C16" s="61"/>
      <c r="D16" s="61"/>
      <c r="E16" s="61"/>
      <c r="F16" s="61"/>
      <c r="G16" s="61"/>
      <c r="H16" s="61"/>
    </row>
    <row r="17" spans="1:8" ht="12.75">
      <c r="A17" s="62" t="s">
        <v>10</v>
      </c>
      <c r="B17" s="94">
        <f t="shared" si="0"/>
        <v>1284</v>
      </c>
      <c r="C17" s="46">
        <f>342+268+235</f>
        <v>845</v>
      </c>
      <c r="D17" s="46">
        <f>162+141+136</f>
        <v>439</v>
      </c>
      <c r="E17" s="46">
        <f>F17+G17</f>
        <v>1368</v>
      </c>
      <c r="F17" s="46">
        <f>272+296+255</f>
        <v>823</v>
      </c>
      <c r="G17" s="46">
        <f>162+156+227</f>
        <v>545</v>
      </c>
      <c r="H17" s="93">
        <f t="shared" si="2"/>
        <v>-84</v>
      </c>
    </row>
    <row r="18" spans="1:8" ht="12.75">
      <c r="A18" s="62" t="s">
        <v>11</v>
      </c>
      <c r="B18" s="94">
        <f t="shared" si="0"/>
        <v>3140</v>
      </c>
      <c r="C18" s="46">
        <f>820+321+478</f>
        <v>1619</v>
      </c>
      <c r="D18" s="46">
        <f>764+301+456</f>
        <v>1521</v>
      </c>
      <c r="E18" s="46">
        <f aca="true" t="shared" si="3" ref="E18:E32">F18+G18</f>
        <v>2988</v>
      </c>
      <c r="F18" s="46">
        <f>506+519+471</f>
        <v>1496</v>
      </c>
      <c r="G18" s="46">
        <f>689+397+406</f>
        <v>1492</v>
      </c>
      <c r="H18" s="93">
        <f t="shared" si="2"/>
        <v>152</v>
      </c>
    </row>
    <row r="19" spans="1:8" ht="12.75">
      <c r="A19" s="62" t="s">
        <v>12</v>
      </c>
      <c r="B19" s="94">
        <f t="shared" si="0"/>
        <v>2517</v>
      </c>
      <c r="C19" s="46">
        <f>332+341+331</f>
        <v>1004</v>
      </c>
      <c r="D19" s="46">
        <f>558+492+463</f>
        <v>1513</v>
      </c>
      <c r="E19" s="46">
        <f t="shared" si="3"/>
        <v>2120</v>
      </c>
      <c r="F19" s="46">
        <f>343+273+304</f>
        <v>920</v>
      </c>
      <c r="G19" s="46">
        <f>442+360+398</f>
        <v>1200</v>
      </c>
      <c r="H19" s="93">
        <f t="shared" si="2"/>
        <v>397</v>
      </c>
    </row>
    <row r="20" spans="1:8" ht="12.75">
      <c r="A20" s="62" t="s">
        <v>13</v>
      </c>
      <c r="B20" s="94">
        <f t="shared" si="0"/>
        <v>957</v>
      </c>
      <c r="C20" s="46">
        <f>155+151+163</f>
        <v>469</v>
      </c>
      <c r="D20" s="46">
        <f>163+129+196</f>
        <v>488</v>
      </c>
      <c r="E20" s="46">
        <f t="shared" si="3"/>
        <v>860</v>
      </c>
      <c r="F20" s="46">
        <f>214+191+169</f>
        <v>574</v>
      </c>
      <c r="G20" s="46">
        <f>108+88+90</f>
        <v>286</v>
      </c>
      <c r="H20" s="93">
        <f t="shared" si="2"/>
        <v>97</v>
      </c>
    </row>
    <row r="21" spans="1:8" ht="12.75" customHeight="1">
      <c r="A21" s="62" t="s">
        <v>62</v>
      </c>
      <c r="B21" s="94">
        <f t="shared" si="0"/>
        <v>7898</v>
      </c>
      <c r="C21" s="46">
        <f>SUM(C17:C20)</f>
        <v>3937</v>
      </c>
      <c r="D21" s="46">
        <f>SUM(D17:D20)</f>
        <v>3961</v>
      </c>
      <c r="E21" s="46">
        <f t="shared" si="3"/>
        <v>7336</v>
      </c>
      <c r="F21" s="46">
        <f>SUM(F17:F20)</f>
        <v>3813</v>
      </c>
      <c r="G21" s="46">
        <f>SUM(G17:G20)</f>
        <v>3523</v>
      </c>
      <c r="H21" s="93">
        <f t="shared" si="2"/>
        <v>562</v>
      </c>
    </row>
    <row r="22" spans="1:8" ht="12.75">
      <c r="A22" s="62" t="s">
        <v>14</v>
      </c>
      <c r="B22" s="94">
        <f t="shared" si="0"/>
        <v>2244</v>
      </c>
      <c r="C22" s="46">
        <f>599+485+576</f>
        <v>1660</v>
      </c>
      <c r="D22" s="46">
        <f>184+182+218</f>
        <v>584</v>
      </c>
      <c r="E22" s="46">
        <f t="shared" si="3"/>
        <v>2138</v>
      </c>
      <c r="F22" s="46">
        <f>621+483+595</f>
        <v>1699</v>
      </c>
      <c r="G22" s="46">
        <f>150+138+151</f>
        <v>439</v>
      </c>
      <c r="H22" s="93">
        <f t="shared" si="2"/>
        <v>106</v>
      </c>
    </row>
    <row r="23" spans="1:8" ht="12.75">
      <c r="A23" s="62" t="s">
        <v>15</v>
      </c>
      <c r="B23" s="94">
        <f t="shared" si="0"/>
        <v>2819</v>
      </c>
      <c r="C23" s="46">
        <f>518+498+523</f>
        <v>1539</v>
      </c>
      <c r="D23" s="46">
        <f>433+384+463</f>
        <v>1280</v>
      </c>
      <c r="E23" s="46">
        <f t="shared" si="3"/>
        <v>2732</v>
      </c>
      <c r="F23" s="46">
        <f>521+526+527</f>
        <v>1574</v>
      </c>
      <c r="G23" s="46">
        <f>399+335+424</f>
        <v>1158</v>
      </c>
      <c r="H23" s="93">
        <f t="shared" si="2"/>
        <v>87</v>
      </c>
    </row>
    <row r="24" spans="1:8" ht="12.75">
      <c r="A24" s="62" t="s">
        <v>16</v>
      </c>
      <c r="B24" s="94">
        <f t="shared" si="0"/>
        <v>3069</v>
      </c>
      <c r="C24" s="46">
        <f>748+660+540</f>
        <v>1948</v>
      </c>
      <c r="D24" s="46">
        <f>379+409+333</f>
        <v>1121</v>
      </c>
      <c r="E24" s="46">
        <f t="shared" si="3"/>
        <v>2687</v>
      </c>
      <c r="F24" s="46">
        <f>746+629+569</f>
        <v>1944</v>
      </c>
      <c r="G24" s="46">
        <f>262+235+246</f>
        <v>743</v>
      </c>
      <c r="H24" s="93">
        <f t="shared" si="2"/>
        <v>382</v>
      </c>
    </row>
    <row r="25" spans="1:8" ht="12.75">
      <c r="A25" s="62" t="s">
        <v>17</v>
      </c>
      <c r="B25" s="94">
        <f t="shared" si="0"/>
        <v>3378</v>
      </c>
      <c r="C25" s="46">
        <f>697+727+724</f>
        <v>2148</v>
      </c>
      <c r="D25" s="46">
        <f>400+362+468</f>
        <v>1230</v>
      </c>
      <c r="E25" s="46">
        <f t="shared" si="3"/>
        <v>2852</v>
      </c>
      <c r="F25" s="46">
        <f>689+737+704</f>
        <v>2130</v>
      </c>
      <c r="G25" s="46">
        <f>251+237+234</f>
        <v>722</v>
      </c>
      <c r="H25" s="93">
        <f t="shared" si="2"/>
        <v>526</v>
      </c>
    </row>
    <row r="26" spans="1:8" ht="12.75">
      <c r="A26" s="62" t="s">
        <v>18</v>
      </c>
      <c r="B26" s="94">
        <f t="shared" si="0"/>
        <v>4445</v>
      </c>
      <c r="C26" s="46">
        <f>705+713+667</f>
        <v>2085</v>
      </c>
      <c r="D26" s="46">
        <f>727+763+870</f>
        <v>2360</v>
      </c>
      <c r="E26" s="46">
        <f t="shared" si="3"/>
        <v>4230</v>
      </c>
      <c r="F26" s="46">
        <f>727+718+724</f>
        <v>2169</v>
      </c>
      <c r="G26" s="46">
        <f>698+714+649</f>
        <v>2061</v>
      </c>
      <c r="H26" s="93">
        <f t="shared" si="2"/>
        <v>215</v>
      </c>
    </row>
    <row r="27" spans="1:8" ht="12.75">
      <c r="A27" s="62" t="s">
        <v>19</v>
      </c>
      <c r="B27" s="94">
        <f t="shared" si="0"/>
        <v>1960</v>
      </c>
      <c r="C27" s="46">
        <f>485+552+448</f>
        <v>1485</v>
      </c>
      <c r="D27" s="46">
        <f>124+172+179</f>
        <v>475</v>
      </c>
      <c r="E27" s="46">
        <f t="shared" si="3"/>
        <v>1860</v>
      </c>
      <c r="F27" s="46">
        <f>622+456+440</f>
        <v>1518</v>
      </c>
      <c r="G27" s="46">
        <f>114+135+93</f>
        <v>342</v>
      </c>
      <c r="H27" s="93">
        <f t="shared" si="2"/>
        <v>100</v>
      </c>
    </row>
    <row r="28" spans="1:8" ht="12.75">
      <c r="A28" s="62" t="s">
        <v>20</v>
      </c>
      <c r="B28" s="94">
        <f t="shared" si="0"/>
        <v>4235</v>
      </c>
      <c r="C28" s="46">
        <f>1090+1093+1085</f>
        <v>3268</v>
      </c>
      <c r="D28" s="46">
        <f>326+301+340</f>
        <v>967</v>
      </c>
      <c r="E28" s="46">
        <f t="shared" si="3"/>
        <v>4121</v>
      </c>
      <c r="F28" s="46">
        <f>1154+1026+1106</f>
        <v>3286</v>
      </c>
      <c r="G28" s="46">
        <f>266+243+326</f>
        <v>835</v>
      </c>
      <c r="H28" s="93">
        <f t="shared" si="2"/>
        <v>114</v>
      </c>
    </row>
    <row r="29" spans="1:8" ht="12.75">
      <c r="A29" s="62" t="s">
        <v>21</v>
      </c>
      <c r="B29" s="94">
        <f t="shared" si="0"/>
        <v>3436</v>
      </c>
      <c r="C29" s="46">
        <f>924+875+954</f>
        <v>2753</v>
      </c>
      <c r="D29" s="46">
        <f>237+232+214</f>
        <v>683</v>
      </c>
      <c r="E29" s="46">
        <f t="shared" si="3"/>
        <v>3265</v>
      </c>
      <c r="F29" s="46">
        <f>968+825+883</f>
        <v>2676</v>
      </c>
      <c r="G29" s="46">
        <f>178+197+214</f>
        <v>589</v>
      </c>
      <c r="H29" s="93">
        <f t="shared" si="2"/>
        <v>171</v>
      </c>
    </row>
    <row r="30" spans="1:8" ht="12.75">
      <c r="A30" s="62" t="s">
        <v>22</v>
      </c>
      <c r="B30" s="94">
        <f t="shared" si="0"/>
        <v>4115</v>
      </c>
      <c r="C30" s="46">
        <f>784+773+761</f>
        <v>2318</v>
      </c>
      <c r="D30" s="46">
        <f>645+565+587</f>
        <v>1797</v>
      </c>
      <c r="E30" s="46">
        <f t="shared" si="3"/>
        <v>3840</v>
      </c>
      <c r="F30" s="46">
        <f>791+797+763</f>
        <v>2351</v>
      </c>
      <c r="G30" s="46">
        <f>550+448+491</f>
        <v>1489</v>
      </c>
      <c r="H30" s="93">
        <f t="shared" si="2"/>
        <v>275</v>
      </c>
    </row>
    <row r="31" spans="1:8" ht="12.75">
      <c r="A31" s="62" t="s">
        <v>23</v>
      </c>
      <c r="B31" s="94">
        <f t="shared" si="0"/>
        <v>1948</v>
      </c>
      <c r="C31" s="46">
        <f>499+478+500</f>
        <v>1477</v>
      </c>
      <c r="D31" s="46">
        <f>171+139+161</f>
        <v>471</v>
      </c>
      <c r="E31" s="46">
        <f t="shared" si="3"/>
        <v>1908</v>
      </c>
      <c r="F31" s="46">
        <f>484+496+463</f>
        <v>1443</v>
      </c>
      <c r="G31" s="46">
        <f>145+149+171</f>
        <v>465</v>
      </c>
      <c r="H31" s="93">
        <f t="shared" si="2"/>
        <v>40</v>
      </c>
    </row>
    <row r="32" spans="1:8" ht="12.75">
      <c r="A32" s="62" t="s">
        <v>24</v>
      </c>
      <c r="B32" s="94">
        <f t="shared" si="0"/>
        <v>3577</v>
      </c>
      <c r="C32" s="46">
        <f>526+564+562</f>
        <v>1652</v>
      </c>
      <c r="D32" s="46">
        <f>601+674+650</f>
        <v>1925</v>
      </c>
      <c r="E32" s="46">
        <f t="shared" si="3"/>
        <v>3095</v>
      </c>
      <c r="F32" s="46">
        <f>566+527+574</f>
        <v>1667</v>
      </c>
      <c r="G32" s="46">
        <f>471+417+540</f>
        <v>1428</v>
      </c>
      <c r="H32" s="93">
        <f t="shared" si="2"/>
        <v>482</v>
      </c>
    </row>
    <row r="33" spans="1:8" ht="12.75">
      <c r="A33" s="62" t="s">
        <v>63</v>
      </c>
      <c r="B33" s="94">
        <f t="shared" si="0"/>
        <v>35226</v>
      </c>
      <c r="C33" s="46">
        <f>SUM(C22:C32)</f>
        <v>22333</v>
      </c>
      <c r="D33" s="46">
        <f>SUM(D22:D32)</f>
        <v>12893</v>
      </c>
      <c r="E33" s="46">
        <f>SUM(E22:E32)</f>
        <v>32728</v>
      </c>
      <c r="F33" s="46">
        <f>SUM(F22:F32)</f>
        <v>22457</v>
      </c>
      <c r="G33" s="46">
        <f>SUM(G22:G32)</f>
        <v>10271</v>
      </c>
      <c r="H33" s="93">
        <f t="shared" si="2"/>
        <v>2498</v>
      </c>
    </row>
    <row r="34" spans="1:8" ht="12.75">
      <c r="A34" s="64" t="s">
        <v>25</v>
      </c>
      <c r="B34" s="92">
        <f aca="true" t="shared" si="4" ref="B34:G34">B21+B33</f>
        <v>43124</v>
      </c>
      <c r="C34" s="92">
        <f t="shared" si="4"/>
        <v>26270</v>
      </c>
      <c r="D34" s="92">
        <f t="shared" si="4"/>
        <v>16854</v>
      </c>
      <c r="E34" s="92">
        <f t="shared" si="4"/>
        <v>40064</v>
      </c>
      <c r="F34" s="92">
        <f t="shared" si="4"/>
        <v>26270</v>
      </c>
      <c r="G34" s="92">
        <f t="shared" si="4"/>
        <v>13794</v>
      </c>
      <c r="H34" s="66">
        <f t="shared" si="2"/>
        <v>3060</v>
      </c>
    </row>
    <row r="35" spans="1:8" ht="12.75">
      <c r="A35" s="67"/>
      <c r="B35" s="67"/>
      <c r="C35" s="67"/>
      <c r="D35" s="67"/>
      <c r="E35" s="67"/>
      <c r="F35" s="67"/>
      <c r="G35" s="67"/>
      <c r="H35" s="67"/>
    </row>
    <row r="36" spans="1:8" ht="12.75">
      <c r="A36" s="115" t="s">
        <v>66</v>
      </c>
      <c r="B36" s="115"/>
      <c r="C36" s="52"/>
      <c r="D36" s="52"/>
      <c r="E36" s="52"/>
      <c r="F36" s="52"/>
      <c r="G36" s="52"/>
      <c r="H36" s="52"/>
    </row>
    <row r="37" spans="1:8" ht="12.75">
      <c r="A37" s="115" t="s">
        <v>64</v>
      </c>
      <c r="B37" s="115"/>
      <c r="C37" s="52"/>
      <c r="D37" s="52"/>
      <c r="E37" s="52"/>
      <c r="F37" s="52"/>
      <c r="G37" s="52"/>
      <c r="H37" s="52"/>
    </row>
  </sheetData>
  <sheetProtection/>
  <mergeCells count="2">
    <mergeCell ref="A36:B36"/>
    <mergeCell ref="A37:B37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A44" sqref="A44"/>
    </sheetView>
  </sheetViews>
  <sheetFormatPr defaultColWidth="11.421875" defaultRowHeight="12.75"/>
  <cols>
    <col min="1" max="1" width="24.421875" style="35" customWidth="1"/>
    <col min="2" max="16384" width="11.421875" style="35" customWidth="1"/>
  </cols>
  <sheetData>
    <row r="1" spans="1:8" ht="12.75">
      <c r="A1" s="34" t="s">
        <v>105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10" ht="12.75">
      <c r="A3" s="71" t="s">
        <v>109</v>
      </c>
      <c r="B3" s="72"/>
      <c r="C3" s="72"/>
      <c r="D3" s="72"/>
      <c r="E3" s="72"/>
      <c r="F3" s="72"/>
      <c r="G3" s="72"/>
      <c r="H3" s="72"/>
      <c r="I3" s="78"/>
      <c r="J3" s="78"/>
    </row>
    <row r="4" spans="1:9" ht="12.75">
      <c r="A4" s="79" t="s">
        <v>26</v>
      </c>
      <c r="B4" s="72"/>
      <c r="C4" s="72"/>
      <c r="D4" s="72"/>
      <c r="E4" s="72"/>
      <c r="F4" s="72"/>
      <c r="G4" s="72"/>
      <c r="H4" s="72"/>
      <c r="I4" s="78"/>
    </row>
    <row r="5" spans="1:10" ht="12.75">
      <c r="A5" s="71" t="s">
        <v>35</v>
      </c>
      <c r="B5" s="72"/>
      <c r="C5" s="72"/>
      <c r="D5" s="72"/>
      <c r="E5" s="72"/>
      <c r="F5" s="72"/>
      <c r="G5" s="72"/>
      <c r="H5" s="72"/>
      <c r="I5" s="78"/>
      <c r="J5" s="78"/>
    </row>
    <row r="6" spans="1:8" ht="12.75">
      <c r="A6" s="73"/>
      <c r="B6" s="72"/>
      <c r="F6" s="72"/>
      <c r="G6" s="72"/>
      <c r="H6" s="72"/>
    </row>
    <row r="7" spans="1:10" ht="12.75">
      <c r="A7" s="74" t="s">
        <v>27</v>
      </c>
      <c r="B7" s="75" t="s">
        <v>6</v>
      </c>
      <c r="C7" s="75"/>
      <c r="D7" s="75"/>
      <c r="E7" s="75" t="s">
        <v>7</v>
      </c>
      <c r="F7" s="75"/>
      <c r="G7" s="75"/>
      <c r="H7" s="80" t="s">
        <v>75</v>
      </c>
      <c r="I7" s="81"/>
      <c r="J7" s="81"/>
    </row>
    <row r="8" spans="1:10" ht="12.75">
      <c r="A8" s="76" t="s">
        <v>28</v>
      </c>
      <c r="B8" s="77" t="s">
        <v>2</v>
      </c>
      <c r="C8" s="77" t="s">
        <v>29</v>
      </c>
      <c r="D8" s="77" t="s">
        <v>4</v>
      </c>
      <c r="E8" s="77" t="s">
        <v>2</v>
      </c>
      <c r="F8" s="77" t="s">
        <v>29</v>
      </c>
      <c r="G8" s="77" t="s">
        <v>4</v>
      </c>
      <c r="H8" s="77" t="s">
        <v>2</v>
      </c>
      <c r="I8" s="77" t="s">
        <v>29</v>
      </c>
      <c r="J8" s="77" t="s">
        <v>4</v>
      </c>
    </row>
    <row r="9" spans="1:10" ht="12.75">
      <c r="A9" s="62" t="s">
        <v>30</v>
      </c>
      <c r="B9" s="46">
        <f>223+224+233</f>
        <v>680</v>
      </c>
      <c r="C9" s="46">
        <f>118+134+121</f>
        <v>373</v>
      </c>
      <c r="D9" s="82">
        <f>B9-C9</f>
        <v>307</v>
      </c>
      <c r="E9" s="46">
        <f>157+130+194</f>
        <v>481</v>
      </c>
      <c r="F9" s="46">
        <f>72+66+95</f>
        <v>233</v>
      </c>
      <c r="G9" s="82">
        <f>E9-F9</f>
        <v>248</v>
      </c>
      <c r="H9" s="46">
        <f>B9-E9</f>
        <v>199</v>
      </c>
      <c r="I9" s="46">
        <f>C9-F9</f>
        <v>140</v>
      </c>
      <c r="J9" s="46">
        <f>D9-G9</f>
        <v>59</v>
      </c>
    </row>
    <row r="10" spans="1:10" ht="12.75">
      <c r="A10" s="62" t="s">
        <v>31</v>
      </c>
      <c r="B10" s="46">
        <f>231+220+216</f>
        <v>667</v>
      </c>
      <c r="C10" s="46">
        <f>110+122+106</f>
        <v>338</v>
      </c>
      <c r="D10" s="82">
        <f aca="true" t="shared" si="0" ref="D10:D33">B10-C10</f>
        <v>329</v>
      </c>
      <c r="E10" s="46">
        <f>180+157+187</f>
        <v>524</v>
      </c>
      <c r="F10" s="46">
        <f>94+83+96</f>
        <v>273</v>
      </c>
      <c r="G10" s="82">
        <f aca="true" t="shared" si="1" ref="G10:G33">E10-F10</f>
        <v>251</v>
      </c>
      <c r="H10" s="46">
        <f aca="true" t="shared" si="2" ref="H10:H33">B10-E10</f>
        <v>143</v>
      </c>
      <c r="I10" s="46">
        <f aca="true" t="shared" si="3" ref="I10:I33">C10-F10</f>
        <v>65</v>
      </c>
      <c r="J10" s="46">
        <f aca="true" t="shared" si="4" ref="J10:J33">D10-G10</f>
        <v>78</v>
      </c>
    </row>
    <row r="11" spans="1:10" ht="12.75">
      <c r="A11" s="62" t="s">
        <v>32</v>
      </c>
      <c r="B11" s="46">
        <f>235+206+208</f>
        <v>649</v>
      </c>
      <c r="C11" s="46">
        <f>100+102+100</f>
        <v>302</v>
      </c>
      <c r="D11" s="82">
        <f t="shared" si="0"/>
        <v>347</v>
      </c>
      <c r="E11" s="46">
        <f>257+237+245</f>
        <v>739</v>
      </c>
      <c r="F11" s="46">
        <f>129+117+136</f>
        <v>382</v>
      </c>
      <c r="G11" s="82">
        <f t="shared" si="1"/>
        <v>357</v>
      </c>
      <c r="H11" s="46">
        <f t="shared" si="2"/>
        <v>-90</v>
      </c>
      <c r="I11" s="46">
        <f t="shared" si="3"/>
        <v>-80</v>
      </c>
      <c r="J11" s="46">
        <f t="shared" si="4"/>
        <v>-10</v>
      </c>
    </row>
    <row r="12" spans="1:10" ht="12.75">
      <c r="A12" s="62" t="s">
        <v>33</v>
      </c>
      <c r="B12" s="46">
        <f>73+80+76</f>
        <v>229</v>
      </c>
      <c r="C12" s="46">
        <f>34+47+39</f>
        <v>120</v>
      </c>
      <c r="D12" s="82">
        <f t="shared" si="0"/>
        <v>109</v>
      </c>
      <c r="E12" s="46">
        <f>48+50+57</f>
        <v>155</v>
      </c>
      <c r="F12" s="46">
        <f>24+32+36</f>
        <v>92</v>
      </c>
      <c r="G12" s="82">
        <f t="shared" si="1"/>
        <v>63</v>
      </c>
      <c r="H12" s="46">
        <f t="shared" si="2"/>
        <v>74</v>
      </c>
      <c r="I12" s="46">
        <f t="shared" si="3"/>
        <v>28</v>
      </c>
      <c r="J12" s="46">
        <f t="shared" si="4"/>
        <v>46</v>
      </c>
    </row>
    <row r="13" spans="1:10" ht="12.75">
      <c r="A13" s="62" t="s">
        <v>34</v>
      </c>
      <c r="B13" s="46">
        <f>110+102+129</f>
        <v>341</v>
      </c>
      <c r="C13" s="46">
        <f>48+41+67</f>
        <v>156</v>
      </c>
      <c r="D13" s="82">
        <f t="shared" si="0"/>
        <v>185</v>
      </c>
      <c r="E13" s="46">
        <f>73+71+83</f>
        <v>227</v>
      </c>
      <c r="F13" s="46">
        <f>36+36+43</f>
        <v>115</v>
      </c>
      <c r="G13" s="82">
        <f t="shared" si="1"/>
        <v>112</v>
      </c>
      <c r="H13" s="46">
        <f t="shared" si="2"/>
        <v>114</v>
      </c>
      <c r="I13" s="46">
        <f t="shared" si="3"/>
        <v>41</v>
      </c>
      <c r="J13" s="46">
        <f t="shared" si="4"/>
        <v>73</v>
      </c>
    </row>
    <row r="14" spans="1:10" ht="12.75">
      <c r="A14" s="62" t="s">
        <v>36</v>
      </c>
      <c r="B14" s="46">
        <f>191+200+204</f>
        <v>595</v>
      </c>
      <c r="C14" s="46">
        <f>92+102+96</f>
        <v>290</v>
      </c>
      <c r="D14" s="82">
        <f t="shared" si="0"/>
        <v>305</v>
      </c>
      <c r="E14" s="46">
        <f>129+125+132</f>
        <v>386</v>
      </c>
      <c r="F14" s="46">
        <f>68+63+68</f>
        <v>199</v>
      </c>
      <c r="G14" s="82">
        <f t="shared" si="1"/>
        <v>187</v>
      </c>
      <c r="H14" s="46">
        <f t="shared" si="2"/>
        <v>209</v>
      </c>
      <c r="I14" s="46">
        <f t="shared" si="3"/>
        <v>91</v>
      </c>
      <c r="J14" s="46">
        <f t="shared" si="4"/>
        <v>118</v>
      </c>
    </row>
    <row r="15" spans="1:10" ht="12.75">
      <c r="A15" s="62" t="s">
        <v>37</v>
      </c>
      <c r="B15" s="46">
        <f>266+246+292</f>
        <v>804</v>
      </c>
      <c r="C15" s="46">
        <f>130+135+161</f>
        <v>426</v>
      </c>
      <c r="D15" s="82">
        <f t="shared" si="0"/>
        <v>378</v>
      </c>
      <c r="E15" s="46">
        <f>164+159+174</f>
        <v>497</v>
      </c>
      <c r="F15" s="46">
        <f>87+84+96</f>
        <v>267</v>
      </c>
      <c r="G15" s="82">
        <f t="shared" si="1"/>
        <v>230</v>
      </c>
      <c r="H15" s="46">
        <f t="shared" si="2"/>
        <v>307</v>
      </c>
      <c r="I15" s="46">
        <f t="shared" si="3"/>
        <v>159</v>
      </c>
      <c r="J15" s="46">
        <f t="shared" si="4"/>
        <v>148</v>
      </c>
    </row>
    <row r="16" spans="1:10" ht="12.75">
      <c r="A16" s="62" t="s">
        <v>38</v>
      </c>
      <c r="B16" s="46">
        <f>932+812+1032</f>
        <v>2776</v>
      </c>
      <c r="C16" s="46">
        <f>473+365+485</f>
        <v>1323</v>
      </c>
      <c r="D16" s="82">
        <f t="shared" si="0"/>
        <v>1453</v>
      </c>
      <c r="E16" s="46">
        <f>897+861+943</f>
        <v>2701</v>
      </c>
      <c r="F16" s="46">
        <f>421+423+485</f>
        <v>1329</v>
      </c>
      <c r="G16" s="82">
        <f t="shared" si="1"/>
        <v>1372</v>
      </c>
      <c r="H16" s="46">
        <f t="shared" si="2"/>
        <v>75</v>
      </c>
      <c r="I16" s="46">
        <f t="shared" si="3"/>
        <v>-6</v>
      </c>
      <c r="J16" s="46">
        <f t="shared" si="4"/>
        <v>81</v>
      </c>
    </row>
    <row r="17" spans="1:10" ht="12.75">
      <c r="A17" s="62" t="s">
        <v>39</v>
      </c>
      <c r="B17" s="46">
        <f>493+442+500</f>
        <v>1435</v>
      </c>
      <c r="C17" s="46">
        <f>244+212+231</f>
        <v>687</v>
      </c>
      <c r="D17" s="82">
        <f t="shared" si="0"/>
        <v>748</v>
      </c>
      <c r="E17" s="46">
        <f>334+307+283</f>
        <v>924</v>
      </c>
      <c r="F17" s="46">
        <f>152+169+146</f>
        <v>467</v>
      </c>
      <c r="G17" s="82">
        <f t="shared" si="1"/>
        <v>457</v>
      </c>
      <c r="H17" s="46">
        <f t="shared" si="2"/>
        <v>511</v>
      </c>
      <c r="I17" s="46">
        <f t="shared" si="3"/>
        <v>220</v>
      </c>
      <c r="J17" s="46">
        <f t="shared" si="4"/>
        <v>291</v>
      </c>
    </row>
    <row r="18" spans="1:10" ht="12.75">
      <c r="A18" s="62" t="s">
        <v>40</v>
      </c>
      <c r="B18" s="46">
        <f>67+68+68</f>
        <v>203</v>
      </c>
      <c r="C18" s="46">
        <f>35+30+32</f>
        <v>97</v>
      </c>
      <c r="D18" s="82">
        <f t="shared" si="0"/>
        <v>106</v>
      </c>
      <c r="E18" s="46">
        <f>59+43+53</f>
        <v>155</v>
      </c>
      <c r="F18" s="46">
        <f>33+17+32</f>
        <v>82</v>
      </c>
      <c r="G18" s="82">
        <f t="shared" si="1"/>
        <v>73</v>
      </c>
      <c r="H18" s="46">
        <f t="shared" si="2"/>
        <v>48</v>
      </c>
      <c r="I18" s="46">
        <f t="shared" si="3"/>
        <v>15</v>
      </c>
      <c r="J18" s="46">
        <f t="shared" si="4"/>
        <v>33</v>
      </c>
    </row>
    <row r="19" spans="1:10" ht="12.75">
      <c r="A19" s="62" t="s">
        <v>41</v>
      </c>
      <c r="B19" s="46">
        <f>12+12+8</f>
        <v>32</v>
      </c>
      <c r="C19" s="46">
        <f>5+7+3</f>
        <v>15</v>
      </c>
      <c r="D19" s="82">
        <f t="shared" si="0"/>
        <v>17</v>
      </c>
      <c r="E19" s="46">
        <f>2+3+13</f>
        <v>18</v>
      </c>
      <c r="F19" s="46">
        <f>2+3+4</f>
        <v>9</v>
      </c>
      <c r="G19" s="82">
        <f t="shared" si="1"/>
        <v>9</v>
      </c>
      <c r="H19" s="46">
        <f t="shared" si="2"/>
        <v>14</v>
      </c>
      <c r="I19" s="46">
        <f t="shared" si="3"/>
        <v>6</v>
      </c>
      <c r="J19" s="46">
        <f t="shared" si="4"/>
        <v>8</v>
      </c>
    </row>
    <row r="20" spans="1:10" ht="12.75">
      <c r="A20" s="83" t="s">
        <v>42</v>
      </c>
      <c r="B20" s="46">
        <f>77+63+81</f>
        <v>221</v>
      </c>
      <c r="C20" s="46">
        <f>40+33+51</f>
        <v>124</v>
      </c>
      <c r="D20" s="82">
        <f t="shared" si="0"/>
        <v>97</v>
      </c>
      <c r="E20" s="46">
        <f>61+41+59</f>
        <v>161</v>
      </c>
      <c r="F20" s="46">
        <f>31+26+29</f>
        <v>86</v>
      </c>
      <c r="G20" s="82">
        <f t="shared" si="1"/>
        <v>75</v>
      </c>
      <c r="H20" s="46">
        <f t="shared" si="2"/>
        <v>60</v>
      </c>
      <c r="I20" s="46">
        <f t="shared" si="3"/>
        <v>38</v>
      </c>
      <c r="J20" s="46">
        <f t="shared" si="4"/>
        <v>22</v>
      </c>
    </row>
    <row r="21" spans="1:10" ht="12.75">
      <c r="A21" s="62" t="s">
        <v>43</v>
      </c>
      <c r="B21" s="46">
        <f>63+44+68</f>
        <v>175</v>
      </c>
      <c r="C21" s="46">
        <f>30+18+32</f>
        <v>80</v>
      </c>
      <c r="D21" s="82">
        <f t="shared" si="0"/>
        <v>95</v>
      </c>
      <c r="E21" s="46">
        <f>39+35+51</f>
        <v>125</v>
      </c>
      <c r="F21" s="46">
        <f>20+19+24</f>
        <v>63</v>
      </c>
      <c r="G21" s="82">
        <f t="shared" si="1"/>
        <v>62</v>
      </c>
      <c r="H21" s="46">
        <f t="shared" si="2"/>
        <v>50</v>
      </c>
      <c r="I21" s="46">
        <f t="shared" si="3"/>
        <v>17</v>
      </c>
      <c r="J21" s="46">
        <f t="shared" si="4"/>
        <v>33</v>
      </c>
    </row>
    <row r="22" spans="1:10" ht="12.75">
      <c r="A22" s="62" t="s">
        <v>25</v>
      </c>
      <c r="B22" s="46">
        <f>1530+1357+1481</f>
        <v>4368</v>
      </c>
      <c r="C22" s="46">
        <f>756+655+710</f>
        <v>2121</v>
      </c>
      <c r="D22" s="82">
        <f t="shared" si="0"/>
        <v>2247</v>
      </c>
      <c r="E22" s="46">
        <f>1649+1548+1660</f>
        <v>4857</v>
      </c>
      <c r="F22" s="46">
        <f>798+772+783</f>
        <v>2353</v>
      </c>
      <c r="G22" s="82">
        <f t="shared" si="1"/>
        <v>2504</v>
      </c>
      <c r="H22" s="93">
        <f t="shared" si="2"/>
        <v>-489</v>
      </c>
      <c r="I22" s="46">
        <f t="shared" si="3"/>
        <v>-232</v>
      </c>
      <c r="J22" s="46">
        <f t="shared" si="4"/>
        <v>-257</v>
      </c>
    </row>
    <row r="23" spans="1:10" ht="12.75">
      <c r="A23" s="62" t="s">
        <v>44</v>
      </c>
      <c r="B23" s="46">
        <f>38+46+27</f>
        <v>111</v>
      </c>
      <c r="C23" s="46">
        <f>20+27+12</f>
        <v>59</v>
      </c>
      <c r="D23" s="82">
        <f t="shared" si="0"/>
        <v>52</v>
      </c>
      <c r="E23" s="46">
        <f>25+19+20</f>
        <v>64</v>
      </c>
      <c r="F23" s="46">
        <f>16+12+10</f>
        <v>38</v>
      </c>
      <c r="G23" s="82">
        <f t="shared" si="1"/>
        <v>26</v>
      </c>
      <c r="H23" s="46">
        <f t="shared" si="2"/>
        <v>47</v>
      </c>
      <c r="I23" s="46">
        <f t="shared" si="3"/>
        <v>21</v>
      </c>
      <c r="J23" s="46">
        <f t="shared" si="4"/>
        <v>26</v>
      </c>
    </row>
    <row r="24" spans="1:10" ht="12.75">
      <c r="A24" s="62" t="s">
        <v>101</v>
      </c>
      <c r="B24" s="46">
        <f>SUM(B9:B23)</f>
        <v>13286</v>
      </c>
      <c r="C24" s="46">
        <f>SUM(C9:C23)</f>
        <v>6511</v>
      </c>
      <c r="D24" s="82">
        <f t="shared" si="0"/>
        <v>6775</v>
      </c>
      <c r="E24" s="46">
        <f>SUM(E9:E23)</f>
        <v>12014</v>
      </c>
      <c r="F24" s="46">
        <f>SUM(F9:F23)</f>
        <v>5988</v>
      </c>
      <c r="G24" s="82">
        <f t="shared" si="1"/>
        <v>6026</v>
      </c>
      <c r="H24" s="46">
        <f t="shared" si="2"/>
        <v>1272</v>
      </c>
      <c r="I24" s="46">
        <f t="shared" si="3"/>
        <v>523</v>
      </c>
      <c r="J24" s="46">
        <f t="shared" si="4"/>
        <v>749</v>
      </c>
    </row>
    <row r="25" spans="1:10" ht="12.75">
      <c r="A25" s="62" t="s">
        <v>70</v>
      </c>
      <c r="B25" s="46">
        <f>2286+1749+2245</f>
        <v>6280</v>
      </c>
      <c r="C25" s="46">
        <f>1587+1142+1586</f>
        <v>4315</v>
      </c>
      <c r="D25" s="82">
        <f t="shared" si="0"/>
        <v>1965</v>
      </c>
      <c r="E25" s="46">
        <f>1940+1521+2102</f>
        <v>5563</v>
      </c>
      <c r="F25" s="46">
        <f>1308+1017+1414</f>
        <v>3739</v>
      </c>
      <c r="G25" s="82">
        <f t="shared" si="1"/>
        <v>1824</v>
      </c>
      <c r="H25" s="46">
        <f t="shared" si="2"/>
        <v>717</v>
      </c>
      <c r="I25" s="46">
        <f t="shared" si="3"/>
        <v>576</v>
      </c>
      <c r="J25" s="46">
        <f t="shared" si="4"/>
        <v>141</v>
      </c>
    </row>
    <row r="26" spans="1:10" ht="12.75">
      <c r="A26" s="84" t="s">
        <v>71</v>
      </c>
      <c r="B26" s="65">
        <f aca="true" t="shared" si="5" ref="B26:G26">B24+B25</f>
        <v>19566</v>
      </c>
      <c r="C26" s="65">
        <f t="shared" si="5"/>
        <v>10826</v>
      </c>
      <c r="D26" s="85">
        <f t="shared" si="5"/>
        <v>8740</v>
      </c>
      <c r="E26" s="65">
        <f t="shared" si="5"/>
        <v>17577</v>
      </c>
      <c r="F26" s="65">
        <f t="shared" si="5"/>
        <v>9727</v>
      </c>
      <c r="G26" s="85">
        <f t="shared" si="5"/>
        <v>7850</v>
      </c>
      <c r="H26" s="92">
        <f t="shared" si="2"/>
        <v>1989</v>
      </c>
      <c r="I26" s="92">
        <f t="shared" si="3"/>
        <v>1099</v>
      </c>
      <c r="J26" s="92">
        <f t="shared" si="4"/>
        <v>890</v>
      </c>
    </row>
    <row r="27" spans="1:10" ht="12.75">
      <c r="A27" s="86" t="s">
        <v>72</v>
      </c>
      <c r="B27" s="51"/>
      <c r="C27" s="51"/>
      <c r="D27" s="82">
        <f t="shared" si="0"/>
        <v>0</v>
      </c>
      <c r="E27" s="51"/>
      <c r="F27" s="51"/>
      <c r="G27" s="82">
        <f t="shared" si="1"/>
        <v>0</v>
      </c>
      <c r="H27" s="46">
        <f t="shared" si="2"/>
        <v>0</v>
      </c>
      <c r="I27" s="46">
        <f t="shared" si="3"/>
        <v>0</v>
      </c>
      <c r="J27" s="46">
        <f t="shared" si="4"/>
        <v>0</v>
      </c>
    </row>
    <row r="28" spans="1:10" ht="12.75">
      <c r="A28" s="86" t="s">
        <v>73</v>
      </c>
      <c r="B28" s="51">
        <f>167+144+150</f>
        <v>461</v>
      </c>
      <c r="C28" s="51">
        <f>83+69+76</f>
        <v>228</v>
      </c>
      <c r="D28" s="82">
        <f t="shared" si="0"/>
        <v>233</v>
      </c>
      <c r="E28" s="51">
        <f>197+148+203</f>
        <v>548</v>
      </c>
      <c r="F28" s="51">
        <f>103+77+86</f>
        <v>266</v>
      </c>
      <c r="G28" s="82">
        <f t="shared" si="1"/>
        <v>282</v>
      </c>
      <c r="H28" s="46">
        <f t="shared" si="2"/>
        <v>-87</v>
      </c>
      <c r="I28" s="46">
        <f t="shared" si="3"/>
        <v>-38</v>
      </c>
      <c r="J28" s="46">
        <f t="shared" si="4"/>
        <v>-49</v>
      </c>
    </row>
    <row r="29" spans="1:10" ht="12.75">
      <c r="A29" s="86" t="s">
        <v>18</v>
      </c>
      <c r="B29" s="51">
        <f>411+338+335</f>
        <v>1084</v>
      </c>
      <c r="C29" s="51">
        <f>194+165+157</f>
        <v>516</v>
      </c>
      <c r="D29" s="82">
        <f t="shared" si="0"/>
        <v>568</v>
      </c>
      <c r="E29" s="51">
        <f>367+367+484</f>
        <v>1218</v>
      </c>
      <c r="F29" s="51">
        <f>180+174+219</f>
        <v>573</v>
      </c>
      <c r="G29" s="82">
        <f t="shared" si="1"/>
        <v>645</v>
      </c>
      <c r="H29" s="46">
        <f t="shared" si="2"/>
        <v>-134</v>
      </c>
      <c r="I29" s="46">
        <f t="shared" si="3"/>
        <v>-57</v>
      </c>
      <c r="J29" s="46">
        <f t="shared" si="4"/>
        <v>-77</v>
      </c>
    </row>
    <row r="30" spans="1:10" ht="12.75">
      <c r="A30" s="86" t="s">
        <v>22</v>
      </c>
      <c r="B30" s="51">
        <f>231+218+241</f>
        <v>690</v>
      </c>
      <c r="C30" s="51">
        <f>104+106+119</f>
        <v>329</v>
      </c>
      <c r="D30" s="82">
        <f t="shared" si="0"/>
        <v>361</v>
      </c>
      <c r="E30" s="51">
        <f>323+284+259</f>
        <v>866</v>
      </c>
      <c r="F30" s="51">
        <f>160+154+119</f>
        <v>433</v>
      </c>
      <c r="G30" s="82">
        <f t="shared" si="1"/>
        <v>433</v>
      </c>
      <c r="H30" s="46">
        <f t="shared" si="2"/>
        <v>-176</v>
      </c>
      <c r="I30" s="46">
        <f t="shared" si="3"/>
        <v>-104</v>
      </c>
      <c r="J30" s="46">
        <f t="shared" si="4"/>
        <v>-72</v>
      </c>
    </row>
    <row r="31" spans="1:10" ht="12.75">
      <c r="A31" s="86" t="s">
        <v>24</v>
      </c>
      <c r="B31" s="51">
        <f>289+230+298</f>
        <v>817</v>
      </c>
      <c r="C31" s="51">
        <f>151+114+145</f>
        <v>410</v>
      </c>
      <c r="D31" s="82">
        <f t="shared" si="0"/>
        <v>407</v>
      </c>
      <c r="E31" s="51">
        <f>334+393+373</f>
        <v>1100</v>
      </c>
      <c r="F31" s="51">
        <f>155+187+176</f>
        <v>518</v>
      </c>
      <c r="G31" s="82">
        <f t="shared" si="1"/>
        <v>582</v>
      </c>
      <c r="H31" s="46">
        <f t="shared" si="2"/>
        <v>-283</v>
      </c>
      <c r="I31" s="46">
        <f t="shared" si="3"/>
        <v>-108</v>
      </c>
      <c r="J31" s="46">
        <f t="shared" si="4"/>
        <v>-175</v>
      </c>
    </row>
    <row r="32" spans="1:10" ht="12.75">
      <c r="A32" s="86" t="s">
        <v>74</v>
      </c>
      <c r="B32" s="51">
        <f>212+237+269</f>
        <v>718</v>
      </c>
      <c r="C32" s="51">
        <f>101+111+123</f>
        <v>335</v>
      </c>
      <c r="D32" s="82">
        <f t="shared" si="0"/>
        <v>383</v>
      </c>
      <c r="E32" s="51">
        <f>327+337+359</f>
        <v>1023</v>
      </c>
      <c r="F32" s="51">
        <f>151+167+191</f>
        <v>509</v>
      </c>
      <c r="G32" s="82">
        <f t="shared" si="1"/>
        <v>514</v>
      </c>
      <c r="H32" s="46">
        <f t="shared" si="2"/>
        <v>-305</v>
      </c>
      <c r="I32" s="46">
        <f t="shared" si="3"/>
        <v>-174</v>
      </c>
      <c r="J32" s="46">
        <f t="shared" si="4"/>
        <v>-131</v>
      </c>
    </row>
    <row r="33" spans="1:10" ht="12.75">
      <c r="A33" s="86" t="s">
        <v>46</v>
      </c>
      <c r="B33" s="51">
        <f>100+86+93</f>
        <v>279</v>
      </c>
      <c r="C33" s="51">
        <f>55+46+44</f>
        <v>145</v>
      </c>
      <c r="D33" s="82">
        <f t="shared" si="0"/>
        <v>134</v>
      </c>
      <c r="E33" s="51">
        <f>120+103+115</f>
        <v>338</v>
      </c>
      <c r="F33" s="51">
        <f>56+48+58</f>
        <v>162</v>
      </c>
      <c r="G33" s="82">
        <f t="shared" si="1"/>
        <v>176</v>
      </c>
      <c r="H33" s="46">
        <f t="shared" si="2"/>
        <v>-59</v>
      </c>
      <c r="I33" s="46">
        <f t="shared" si="3"/>
        <v>-17</v>
      </c>
      <c r="J33" s="46">
        <f t="shared" si="4"/>
        <v>-42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1.8515625" style="35" customWidth="1"/>
    <col min="2" max="2" width="10.421875" style="35" customWidth="1"/>
    <col min="3" max="3" width="9.8515625" style="35" customWidth="1"/>
    <col min="4" max="4" width="8.8515625" style="35" customWidth="1"/>
    <col min="5" max="6" width="9.421875" style="35" customWidth="1"/>
    <col min="7" max="7" width="7.57421875" style="35" customWidth="1"/>
    <col min="8" max="8" width="9.8515625" style="35" customWidth="1"/>
    <col min="9" max="9" width="9.00390625" style="35" customWidth="1"/>
    <col min="10" max="16384" width="11.421875" style="35" customWidth="1"/>
  </cols>
  <sheetData>
    <row r="1" spans="1:8" ht="12.75">
      <c r="A1" s="34" t="s">
        <v>105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10" ht="12.75">
      <c r="A3" s="87" t="s">
        <v>110</v>
      </c>
      <c r="B3" s="72"/>
      <c r="C3" s="72"/>
      <c r="D3" s="72"/>
      <c r="E3" s="72"/>
      <c r="F3" s="72"/>
      <c r="G3" s="72"/>
      <c r="H3" s="72"/>
      <c r="I3" s="78"/>
      <c r="J3" s="78"/>
    </row>
    <row r="4" spans="1:10" ht="12.75">
      <c r="A4" s="79" t="s">
        <v>26</v>
      </c>
      <c r="B4" s="72"/>
      <c r="C4" s="72"/>
      <c r="D4" s="72"/>
      <c r="E4" s="72"/>
      <c r="F4" s="72"/>
      <c r="G4" s="72"/>
      <c r="H4" s="72"/>
      <c r="I4" s="78"/>
      <c r="J4" s="78"/>
    </row>
    <row r="5" spans="1:10" ht="12.75">
      <c r="A5" s="71" t="s">
        <v>25</v>
      </c>
      <c r="B5" s="72"/>
      <c r="C5" s="72"/>
      <c r="D5" s="72"/>
      <c r="E5" s="72"/>
      <c r="F5" s="72"/>
      <c r="G5" s="72"/>
      <c r="H5" s="72"/>
      <c r="I5" s="78"/>
      <c r="J5" s="78"/>
    </row>
    <row r="6" spans="1:8" ht="12.75">
      <c r="A6" s="73"/>
      <c r="B6" s="72"/>
      <c r="F6" s="72"/>
      <c r="G6" s="72"/>
      <c r="H6" s="72"/>
    </row>
    <row r="7" spans="1:10" ht="25.5">
      <c r="A7" s="74" t="s">
        <v>27</v>
      </c>
      <c r="B7" s="75" t="s">
        <v>6</v>
      </c>
      <c r="C7" s="75"/>
      <c r="D7" s="75"/>
      <c r="E7" s="75" t="s">
        <v>7</v>
      </c>
      <c r="F7" s="75"/>
      <c r="G7" s="75"/>
      <c r="H7" s="80" t="s">
        <v>75</v>
      </c>
      <c r="I7" s="81"/>
      <c r="J7" s="81"/>
    </row>
    <row r="8" spans="1:10" ht="12.75">
      <c r="A8" s="76" t="s">
        <v>28</v>
      </c>
      <c r="B8" s="77" t="s">
        <v>2</v>
      </c>
      <c r="C8" s="77" t="s">
        <v>29</v>
      </c>
      <c r="D8" s="77" t="s">
        <v>4</v>
      </c>
      <c r="E8" s="77" t="s">
        <v>2</v>
      </c>
      <c r="F8" s="77" t="s">
        <v>29</v>
      </c>
      <c r="G8" s="77" t="s">
        <v>4</v>
      </c>
      <c r="H8" s="77" t="s">
        <v>2</v>
      </c>
      <c r="I8" s="77" t="s">
        <v>29</v>
      </c>
      <c r="J8" s="77" t="s">
        <v>4</v>
      </c>
    </row>
    <row r="9" spans="1:10" ht="12.75">
      <c r="A9" s="62" t="s">
        <v>30</v>
      </c>
      <c r="B9" s="46">
        <f>205+176+205</f>
        <v>586</v>
      </c>
      <c r="C9" s="46">
        <f>107+96+110</f>
        <v>313</v>
      </c>
      <c r="D9" s="82">
        <f>B9-C9</f>
        <v>273</v>
      </c>
      <c r="E9" s="46">
        <f>173+151+175</f>
        <v>499</v>
      </c>
      <c r="F9" s="46">
        <f>84+74+105</f>
        <v>263</v>
      </c>
      <c r="G9" s="82">
        <f>E9-F9</f>
        <v>236</v>
      </c>
      <c r="H9" s="63">
        <f>B9-E9</f>
        <v>87</v>
      </c>
      <c r="I9" s="63">
        <f>C9-F9</f>
        <v>50</v>
      </c>
      <c r="J9" s="63">
        <f>D9-G9</f>
        <v>37</v>
      </c>
    </row>
    <row r="10" spans="1:10" ht="12.75">
      <c r="A10" s="62" t="s">
        <v>31</v>
      </c>
      <c r="B10" s="46">
        <f>229+188+215</f>
        <v>632</v>
      </c>
      <c r="C10" s="46">
        <f>114+102+117</f>
        <v>333</v>
      </c>
      <c r="D10" s="82">
        <f aca="true" t="shared" si="0" ref="D10:D25">B10-C10</f>
        <v>299</v>
      </c>
      <c r="E10" s="46">
        <f>208+186+196</f>
        <v>590</v>
      </c>
      <c r="F10" s="46">
        <f>108+100+101</f>
        <v>309</v>
      </c>
      <c r="G10" s="82">
        <f aca="true" t="shared" si="1" ref="G10:G25">E10-F10</f>
        <v>281</v>
      </c>
      <c r="H10" s="63">
        <f aca="true" t="shared" si="2" ref="H10:H23">B10-E10</f>
        <v>42</v>
      </c>
      <c r="I10" s="63">
        <f aca="true" t="shared" si="3" ref="I10:I24">C10-F10</f>
        <v>24</v>
      </c>
      <c r="J10" s="63">
        <f aca="true" t="shared" si="4" ref="J10:J24">D10-G10</f>
        <v>18</v>
      </c>
    </row>
    <row r="11" spans="1:10" ht="12.75">
      <c r="A11" s="62" t="s">
        <v>32</v>
      </c>
      <c r="B11" s="46">
        <f>176+148+187</f>
        <v>511</v>
      </c>
      <c r="C11" s="46">
        <f>95+78+87</f>
        <v>260</v>
      </c>
      <c r="D11" s="82">
        <f t="shared" si="0"/>
        <v>251</v>
      </c>
      <c r="E11" s="46">
        <f>203+170+216</f>
        <v>589</v>
      </c>
      <c r="F11" s="46">
        <f>99+90+107</f>
        <v>296</v>
      </c>
      <c r="G11" s="82">
        <f t="shared" si="1"/>
        <v>293</v>
      </c>
      <c r="H11" s="63">
        <f t="shared" si="2"/>
        <v>-78</v>
      </c>
      <c r="I11" s="63">
        <f t="shared" si="3"/>
        <v>-36</v>
      </c>
      <c r="J11" s="63">
        <f t="shared" si="4"/>
        <v>-42</v>
      </c>
    </row>
    <row r="12" spans="1:10" ht="12.75">
      <c r="A12" s="62" t="s">
        <v>33</v>
      </c>
      <c r="B12" s="46">
        <f>141+111+84</f>
        <v>336</v>
      </c>
      <c r="C12" s="46">
        <f>80+54+47</f>
        <v>181</v>
      </c>
      <c r="D12" s="82">
        <f t="shared" si="0"/>
        <v>155</v>
      </c>
      <c r="E12" s="46">
        <f>57+46+74</f>
        <v>177</v>
      </c>
      <c r="F12" s="46">
        <f>30+25+36</f>
        <v>91</v>
      </c>
      <c r="G12" s="82">
        <f t="shared" si="1"/>
        <v>86</v>
      </c>
      <c r="H12" s="63">
        <f t="shared" si="2"/>
        <v>159</v>
      </c>
      <c r="I12" s="63">
        <f t="shared" si="3"/>
        <v>90</v>
      </c>
      <c r="J12" s="63">
        <f t="shared" si="4"/>
        <v>69</v>
      </c>
    </row>
    <row r="13" spans="1:10" ht="12.75">
      <c r="A13" s="62" t="s">
        <v>34</v>
      </c>
      <c r="B13" s="46">
        <f>77+63+68</f>
        <v>208</v>
      </c>
      <c r="C13" s="46">
        <f>38+33+32</f>
        <v>103</v>
      </c>
      <c r="D13" s="82">
        <f t="shared" si="0"/>
        <v>105</v>
      </c>
      <c r="E13" s="46">
        <f>51+53+69</f>
        <v>173</v>
      </c>
      <c r="F13" s="46">
        <f>33+29+33</f>
        <v>95</v>
      </c>
      <c r="G13" s="82">
        <f t="shared" si="1"/>
        <v>78</v>
      </c>
      <c r="H13" s="63">
        <f t="shared" si="2"/>
        <v>35</v>
      </c>
      <c r="I13" s="63">
        <f t="shared" si="3"/>
        <v>8</v>
      </c>
      <c r="J13" s="63">
        <f t="shared" si="4"/>
        <v>27</v>
      </c>
    </row>
    <row r="14" spans="1:10" ht="12.75">
      <c r="A14" s="62" t="s">
        <v>35</v>
      </c>
      <c r="B14" s="46">
        <f>1649+1548+1660</f>
        <v>4857</v>
      </c>
      <c r="C14" s="46">
        <f>798+772+783</f>
        <v>2353</v>
      </c>
      <c r="D14" s="82">
        <f t="shared" si="0"/>
        <v>2504</v>
      </c>
      <c r="E14" s="46">
        <f>1530+1357+1481</f>
        <v>4368</v>
      </c>
      <c r="F14" s="46">
        <f>756+655+710</f>
        <v>2121</v>
      </c>
      <c r="G14" s="82">
        <f t="shared" si="1"/>
        <v>2247</v>
      </c>
      <c r="H14" s="63">
        <f t="shared" si="2"/>
        <v>489</v>
      </c>
      <c r="I14" s="63">
        <f t="shared" si="3"/>
        <v>232</v>
      </c>
      <c r="J14" s="63">
        <f t="shared" si="4"/>
        <v>257</v>
      </c>
    </row>
    <row r="15" spans="1:10" ht="12.75">
      <c r="A15" s="62" t="s">
        <v>36</v>
      </c>
      <c r="B15" s="46">
        <f>240+142+155</f>
        <v>537</v>
      </c>
      <c r="C15" s="46">
        <f>116+57+86</f>
        <v>259</v>
      </c>
      <c r="D15" s="82">
        <f t="shared" si="0"/>
        <v>278</v>
      </c>
      <c r="E15" s="46">
        <f>125+111+128</f>
        <v>364</v>
      </c>
      <c r="F15" s="46">
        <f>65+52+69</f>
        <v>186</v>
      </c>
      <c r="G15" s="82">
        <f t="shared" si="1"/>
        <v>178</v>
      </c>
      <c r="H15" s="63">
        <f t="shared" si="2"/>
        <v>173</v>
      </c>
      <c r="I15" s="63">
        <f t="shared" si="3"/>
        <v>73</v>
      </c>
      <c r="J15" s="63">
        <f t="shared" si="4"/>
        <v>100</v>
      </c>
    </row>
    <row r="16" spans="1:10" ht="13.5" customHeight="1">
      <c r="A16" s="62" t="s">
        <v>37</v>
      </c>
      <c r="B16" s="46">
        <f>344+360+330</f>
        <v>1034</v>
      </c>
      <c r="C16" s="46">
        <f>194+181+173</f>
        <v>548</v>
      </c>
      <c r="D16" s="82">
        <f t="shared" si="0"/>
        <v>486</v>
      </c>
      <c r="E16" s="46">
        <f>273+282+268</f>
        <v>823</v>
      </c>
      <c r="F16" s="46">
        <f>139+146+134</f>
        <v>419</v>
      </c>
      <c r="G16" s="82">
        <f t="shared" si="1"/>
        <v>404</v>
      </c>
      <c r="H16" s="63">
        <f t="shared" si="2"/>
        <v>211</v>
      </c>
      <c r="I16" s="63">
        <f t="shared" si="3"/>
        <v>129</v>
      </c>
      <c r="J16" s="63">
        <f t="shared" si="4"/>
        <v>82</v>
      </c>
    </row>
    <row r="17" spans="1:10" ht="12.75">
      <c r="A17" s="62" t="s">
        <v>38</v>
      </c>
      <c r="B17" s="46">
        <f>649+594+733</f>
        <v>1976</v>
      </c>
      <c r="C17" s="46">
        <f>323+282+340</f>
        <v>945</v>
      </c>
      <c r="D17" s="82">
        <f t="shared" si="0"/>
        <v>1031</v>
      </c>
      <c r="E17" s="46">
        <f>573+521+617</f>
        <v>1711</v>
      </c>
      <c r="F17" s="46">
        <f>305+264+319</f>
        <v>888</v>
      </c>
      <c r="G17" s="82">
        <f t="shared" si="1"/>
        <v>823</v>
      </c>
      <c r="H17" s="63">
        <f t="shared" si="2"/>
        <v>265</v>
      </c>
      <c r="I17" s="63">
        <f t="shared" si="3"/>
        <v>57</v>
      </c>
      <c r="J17" s="63">
        <f t="shared" si="4"/>
        <v>208</v>
      </c>
    </row>
    <row r="18" spans="1:10" ht="12.75">
      <c r="A18" s="62" t="s">
        <v>39</v>
      </c>
      <c r="B18" s="46">
        <f>530+453+508</f>
        <v>1491</v>
      </c>
      <c r="C18" s="46">
        <f>259+228+229</f>
        <v>716</v>
      </c>
      <c r="D18" s="82">
        <f t="shared" si="0"/>
        <v>775</v>
      </c>
      <c r="E18" s="46">
        <f>391+376+354</f>
        <v>1121</v>
      </c>
      <c r="F18" s="46">
        <f>200+203+188</f>
        <v>591</v>
      </c>
      <c r="G18" s="82">
        <f t="shared" si="1"/>
        <v>530</v>
      </c>
      <c r="H18" s="63">
        <f t="shared" si="2"/>
        <v>370</v>
      </c>
      <c r="I18" s="63">
        <f t="shared" si="3"/>
        <v>125</v>
      </c>
      <c r="J18" s="63">
        <f t="shared" si="4"/>
        <v>245</v>
      </c>
    </row>
    <row r="19" spans="1:10" ht="12.75">
      <c r="A19" s="62" t="s">
        <v>40</v>
      </c>
      <c r="B19" s="46">
        <f>74+72+48</f>
        <v>194</v>
      </c>
      <c r="C19" s="46">
        <f>43+36+24</f>
        <v>103</v>
      </c>
      <c r="D19" s="82">
        <f t="shared" si="0"/>
        <v>91</v>
      </c>
      <c r="E19" s="46">
        <f>65+72+66</f>
        <v>203</v>
      </c>
      <c r="F19" s="46">
        <f>28+35+37</f>
        <v>100</v>
      </c>
      <c r="G19" s="82">
        <f t="shared" si="1"/>
        <v>103</v>
      </c>
      <c r="H19" s="63">
        <f t="shared" si="2"/>
        <v>-9</v>
      </c>
      <c r="I19" s="63">
        <f t="shared" si="3"/>
        <v>3</v>
      </c>
      <c r="J19" s="63">
        <f t="shared" si="4"/>
        <v>-12</v>
      </c>
    </row>
    <row r="20" spans="1:10" ht="12.75">
      <c r="A20" s="62" t="s">
        <v>41</v>
      </c>
      <c r="B20" s="46">
        <f>22+17+15</f>
        <v>54</v>
      </c>
      <c r="C20" s="46">
        <f>8+7+6</f>
        <v>21</v>
      </c>
      <c r="D20" s="82">
        <f t="shared" si="0"/>
        <v>33</v>
      </c>
      <c r="E20" s="46">
        <f>9+10+10</f>
        <v>29</v>
      </c>
      <c r="F20" s="46">
        <f>5+6+7</f>
        <v>18</v>
      </c>
      <c r="G20" s="82">
        <f t="shared" si="1"/>
        <v>11</v>
      </c>
      <c r="H20" s="63">
        <f t="shared" si="2"/>
        <v>25</v>
      </c>
      <c r="I20" s="63">
        <f t="shared" si="3"/>
        <v>3</v>
      </c>
      <c r="J20" s="63">
        <f t="shared" si="4"/>
        <v>22</v>
      </c>
    </row>
    <row r="21" spans="1:10" ht="12.75">
      <c r="A21" s="62" t="s">
        <v>42</v>
      </c>
      <c r="B21" s="46">
        <f>88+80+57</f>
        <v>225</v>
      </c>
      <c r="C21" s="46">
        <f>48+40+28</f>
        <v>116</v>
      </c>
      <c r="D21" s="82">
        <f t="shared" si="0"/>
        <v>109</v>
      </c>
      <c r="E21" s="46">
        <f>64+44+57</f>
        <v>165</v>
      </c>
      <c r="F21" s="46">
        <f>27+29+31</f>
        <v>87</v>
      </c>
      <c r="G21" s="82">
        <f t="shared" si="1"/>
        <v>78</v>
      </c>
      <c r="H21" s="63">
        <f t="shared" si="2"/>
        <v>60</v>
      </c>
      <c r="I21" s="63">
        <f t="shared" si="3"/>
        <v>29</v>
      </c>
      <c r="J21" s="63">
        <f t="shared" si="4"/>
        <v>31</v>
      </c>
    </row>
    <row r="22" spans="1:10" ht="12.75">
      <c r="A22" s="62" t="s">
        <v>43</v>
      </c>
      <c r="B22" s="46">
        <f>73+72+77</f>
        <v>222</v>
      </c>
      <c r="C22" s="46">
        <f>41+38+43</f>
        <v>122</v>
      </c>
      <c r="D22" s="82">
        <f t="shared" si="0"/>
        <v>100</v>
      </c>
      <c r="E22" s="46">
        <f>49+53+49</f>
        <v>151</v>
      </c>
      <c r="F22" s="46">
        <f>19+33+25</f>
        <v>77</v>
      </c>
      <c r="G22" s="82">
        <f t="shared" si="1"/>
        <v>74</v>
      </c>
      <c r="H22" s="63">
        <f t="shared" si="2"/>
        <v>71</v>
      </c>
      <c r="I22" s="63">
        <f t="shared" si="3"/>
        <v>45</v>
      </c>
      <c r="J22" s="63">
        <f t="shared" si="4"/>
        <v>26</v>
      </c>
    </row>
    <row r="23" spans="1:10" ht="12.75">
      <c r="A23" s="62" t="s">
        <v>44</v>
      </c>
      <c r="B23" s="46">
        <f>55+42+50</f>
        <v>147</v>
      </c>
      <c r="C23" s="46">
        <f>35+24+29</f>
        <v>88</v>
      </c>
      <c r="D23" s="82">
        <f t="shared" si="0"/>
        <v>59</v>
      </c>
      <c r="E23" s="46">
        <f>39+17+40</f>
        <v>96</v>
      </c>
      <c r="F23" s="46">
        <f>21+6+24</f>
        <v>51</v>
      </c>
      <c r="G23" s="82">
        <f t="shared" si="1"/>
        <v>45</v>
      </c>
      <c r="H23" s="63">
        <f t="shared" si="2"/>
        <v>51</v>
      </c>
      <c r="I23" s="63">
        <f t="shared" si="3"/>
        <v>37</v>
      </c>
      <c r="J23" s="63">
        <f t="shared" si="4"/>
        <v>14</v>
      </c>
    </row>
    <row r="24" spans="1:10" ht="12.75">
      <c r="A24" s="62" t="s">
        <v>101</v>
      </c>
      <c r="B24" s="46">
        <f aca="true" t="shared" si="5" ref="B24:G24">SUM(B9:B23)</f>
        <v>13010</v>
      </c>
      <c r="C24" s="46">
        <f t="shared" si="5"/>
        <v>6461</v>
      </c>
      <c r="D24" s="82">
        <f t="shared" si="5"/>
        <v>6549</v>
      </c>
      <c r="E24" s="46">
        <f t="shared" si="5"/>
        <v>11059</v>
      </c>
      <c r="F24" s="46">
        <f t="shared" si="5"/>
        <v>5592</v>
      </c>
      <c r="G24" s="82">
        <f t="shared" si="5"/>
        <v>5467</v>
      </c>
      <c r="H24" s="63">
        <f>B24-E24</f>
        <v>1951</v>
      </c>
      <c r="I24" s="63">
        <f t="shared" si="3"/>
        <v>869</v>
      </c>
      <c r="J24" s="63">
        <f t="shared" si="4"/>
        <v>1082</v>
      </c>
    </row>
    <row r="25" spans="1:10" ht="12.75">
      <c r="A25" s="62" t="s">
        <v>70</v>
      </c>
      <c r="B25" s="46">
        <f>1322+1180+1342</f>
        <v>3844</v>
      </c>
      <c r="C25" s="46">
        <f>783+735+805</f>
        <v>2323</v>
      </c>
      <c r="D25" s="82">
        <f t="shared" si="0"/>
        <v>1521</v>
      </c>
      <c r="E25" s="46">
        <f>1075+800+860</f>
        <v>2735</v>
      </c>
      <c r="F25" s="46">
        <f>633+495+505</f>
        <v>1633</v>
      </c>
      <c r="G25" s="82">
        <f t="shared" si="1"/>
        <v>1102</v>
      </c>
      <c r="H25" s="63">
        <f>B25-E25</f>
        <v>1109</v>
      </c>
      <c r="I25" s="63">
        <f>C25-F25</f>
        <v>690</v>
      </c>
      <c r="J25" s="63">
        <f>D25-G25</f>
        <v>419</v>
      </c>
    </row>
    <row r="26" spans="1:10" ht="12.75">
      <c r="A26" s="88" t="s">
        <v>71</v>
      </c>
      <c r="B26" s="65">
        <f aca="true" t="shared" si="6" ref="B26:G26">SUM(B24:B25)</f>
        <v>16854</v>
      </c>
      <c r="C26" s="65">
        <f t="shared" si="6"/>
        <v>8784</v>
      </c>
      <c r="D26" s="85">
        <f t="shared" si="6"/>
        <v>8070</v>
      </c>
      <c r="E26" s="65">
        <f t="shared" si="6"/>
        <v>13794</v>
      </c>
      <c r="F26" s="65">
        <f t="shared" si="6"/>
        <v>7225</v>
      </c>
      <c r="G26" s="85">
        <f t="shared" si="6"/>
        <v>6569</v>
      </c>
      <c r="H26" s="66">
        <f>B26-E26</f>
        <v>3060</v>
      </c>
      <c r="I26" s="66">
        <f>C26-F26</f>
        <v>1559</v>
      </c>
      <c r="J26" s="66">
        <f>D26-G26</f>
        <v>1501</v>
      </c>
    </row>
    <row r="27" spans="8:10" ht="12.75">
      <c r="H27" s="63"/>
      <c r="I27" s="63"/>
      <c r="J27" s="63"/>
    </row>
    <row r="28" spans="8:10" ht="12.75">
      <c r="H28" s="63"/>
      <c r="I28" s="63"/>
      <c r="J28" s="63"/>
    </row>
    <row r="29" ht="12.75">
      <c r="F29" s="46"/>
    </row>
  </sheetData>
  <sheetProtection/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BruhnCh</dc:creator>
  <cp:keywords/>
  <dc:description/>
  <cp:lastModifiedBy>jaehnere</cp:lastModifiedBy>
  <cp:lastPrinted>2010-12-03T07:41:21Z</cp:lastPrinted>
  <dcterms:created xsi:type="dcterms:W3CDTF">2010-09-22T05:26:38Z</dcterms:created>
  <dcterms:modified xsi:type="dcterms:W3CDTF">2011-11-30T10:29:24Z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